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0545" tabRatio="725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AVAILABILITY'!$A$17:$J$1123</definedName>
    <definedName name="_xlnm.Print_Area" localSheetId="2">'RAP-HEAVY &amp; LIGHT OIL &amp; WTI'!$A$17:$I$1123</definedName>
    <definedName name="_xlnm.Print_Area" localSheetId="0">'RAP-NATURAL GAS PRICES'!$A$17:$S$1123</definedName>
    <definedName name="_xlnm.Print_Area" localSheetId="3">'RAP-SOLID FUEL PRICES'!$A$17:$K$1123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I1097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E1038" i="3"/>
  <c r="D1039" i="3"/>
  <c r="E1040" i="3"/>
  <c r="D1041" i="3"/>
  <c r="E1042" i="3"/>
  <c r="B1043" i="3"/>
  <c r="D1043" i="3"/>
  <c r="E1044" i="3"/>
  <c r="B1045" i="3"/>
  <c r="D1045" i="3"/>
  <c r="E1046" i="3"/>
  <c r="B1047" i="3"/>
  <c r="D1047" i="3"/>
  <c r="C1048" i="3"/>
  <c r="E1048" i="3"/>
  <c r="B1049" i="3"/>
  <c r="D1049" i="3"/>
  <c r="B1051" i="3"/>
  <c r="D1051" i="3"/>
  <c r="E1052" i="3"/>
  <c r="B1053" i="3"/>
  <c r="E1054" i="3"/>
  <c r="B1055" i="3"/>
  <c r="D1055" i="3"/>
  <c r="E1055" i="3"/>
  <c r="D1057" i="3"/>
  <c r="E1057" i="3"/>
  <c r="E1058" i="3"/>
  <c r="B1059" i="3"/>
  <c r="D1059" i="3"/>
  <c r="A1060" i="3"/>
  <c r="B1060" i="3"/>
  <c r="D1060" i="3"/>
  <c r="E1060" i="3"/>
  <c r="A1061" i="3"/>
  <c r="A1062" i="3" s="1"/>
  <c r="A1063" i="3" s="1"/>
  <c r="A1064" i="3" s="1"/>
  <c r="D1061" i="3"/>
  <c r="B1062" i="3"/>
  <c r="D1062" i="3"/>
  <c r="E1062" i="3"/>
  <c r="B1063" i="3"/>
  <c r="E1063" i="3"/>
  <c r="B1064" i="3"/>
  <c r="D1064" i="3"/>
  <c r="A1065" i="3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D1065" i="3"/>
  <c r="E1065" i="3"/>
  <c r="B1066" i="3"/>
  <c r="B1067" i="3"/>
  <c r="D1067" i="3"/>
  <c r="E1067" i="3"/>
  <c r="B1068" i="3"/>
  <c r="E1068" i="3"/>
  <c r="B1069" i="3"/>
  <c r="D1069" i="3"/>
  <c r="E1069" i="3"/>
  <c r="D1070" i="3"/>
  <c r="E1070" i="3"/>
  <c r="B1071" i="3"/>
  <c r="E1071" i="3"/>
  <c r="D1072" i="3"/>
  <c r="E1072" i="3"/>
  <c r="D1073" i="3"/>
  <c r="E1073" i="3"/>
  <c r="B1074" i="3"/>
  <c r="D1074" i="3"/>
  <c r="B1075" i="3"/>
  <c r="D1075" i="3"/>
  <c r="B1076" i="3"/>
  <c r="D1076" i="3"/>
  <c r="E1076" i="3"/>
  <c r="B1077" i="3"/>
  <c r="C1077" i="3"/>
  <c r="E1077" i="3"/>
  <c r="B1078" i="3"/>
  <c r="D1078" i="3"/>
  <c r="E1078" i="3"/>
  <c r="B1079" i="3"/>
  <c r="E1079" i="3"/>
  <c r="A1080" i="3"/>
  <c r="A1081" i="3" s="1"/>
  <c r="A1082" i="3" s="1"/>
  <c r="A1083" i="3" s="1"/>
  <c r="A1084" i="3" s="1"/>
  <c r="B1080" i="3"/>
  <c r="D1080" i="3"/>
  <c r="E1080" i="3"/>
  <c r="D1081" i="3"/>
  <c r="E1081" i="3"/>
  <c r="B1082" i="3"/>
  <c r="D1082" i="3"/>
  <c r="D1083" i="3"/>
  <c r="E1083" i="3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8" i="2"/>
  <c r="C1038" i="2"/>
  <c r="D1038" i="2"/>
  <c r="E1038" i="2"/>
  <c r="F1038" i="2"/>
  <c r="G1038" i="2"/>
  <c r="I1038" i="2"/>
  <c r="J1038" i="2"/>
  <c r="B1039" i="2"/>
  <c r="C1039" i="2"/>
  <c r="D1039" i="2"/>
  <c r="E1039" i="2"/>
  <c r="F1039" i="2"/>
  <c r="G1039" i="2"/>
  <c r="H1039" i="2"/>
  <c r="I1039" i="2"/>
  <c r="J1039" i="2"/>
  <c r="B1040" i="2"/>
  <c r="C1040" i="2"/>
  <c r="D1040" i="2"/>
  <c r="E1040" i="2"/>
  <c r="F1040" i="2"/>
  <c r="G1040" i="2"/>
  <c r="H1040" i="2"/>
  <c r="I1040" i="2"/>
  <c r="J1040" i="2"/>
  <c r="B1041" i="2"/>
  <c r="C1041" i="2"/>
  <c r="D1041" i="2"/>
  <c r="E1041" i="2"/>
  <c r="F1041" i="2"/>
  <c r="G1041" i="2"/>
  <c r="H1041" i="2"/>
  <c r="I1041" i="2"/>
  <c r="J1041" i="2"/>
  <c r="B1042" i="2"/>
  <c r="C1042" i="2"/>
  <c r="D1042" i="2"/>
  <c r="E1042" i="2"/>
  <c r="F1042" i="2"/>
  <c r="G1042" i="2"/>
  <c r="H1042" i="2"/>
  <c r="I1042" i="2"/>
  <c r="J1042" i="2"/>
  <c r="B1043" i="2"/>
  <c r="C1043" i="2"/>
  <c r="D1043" i="2"/>
  <c r="E1043" i="2"/>
  <c r="F1043" i="2"/>
  <c r="G1043" i="2"/>
  <c r="H1043" i="2"/>
  <c r="I1043" i="2"/>
  <c r="J1043" i="2"/>
  <c r="B1044" i="2"/>
  <c r="C1044" i="2"/>
  <c r="D1044" i="2"/>
  <c r="E1044" i="2"/>
  <c r="F1044" i="2"/>
  <c r="G1044" i="2"/>
  <c r="H1044" i="2"/>
  <c r="I1044" i="2"/>
  <c r="J1044" i="2"/>
  <c r="B1045" i="2"/>
  <c r="C1045" i="2"/>
  <c r="D1045" i="2"/>
  <c r="E1045" i="2"/>
  <c r="F1045" i="2"/>
  <c r="G1045" i="2"/>
  <c r="H1045" i="2"/>
  <c r="I1045" i="2"/>
  <c r="J1045" i="2"/>
  <c r="B1046" i="2"/>
  <c r="C1046" i="2"/>
  <c r="D1046" i="2"/>
  <c r="E1046" i="2"/>
  <c r="F1046" i="2"/>
  <c r="G1046" i="2"/>
  <c r="H1046" i="2"/>
  <c r="I1046" i="2"/>
  <c r="J1046" i="2"/>
  <c r="B1047" i="2"/>
  <c r="C1047" i="2"/>
  <c r="D1047" i="2"/>
  <c r="E1047" i="2"/>
  <c r="F1047" i="2"/>
  <c r="G1047" i="2"/>
  <c r="H1047" i="2"/>
  <c r="I1047" i="2"/>
  <c r="J1047" i="2"/>
  <c r="B1048" i="2"/>
  <c r="C1048" i="2"/>
  <c r="D1048" i="2"/>
  <c r="E1048" i="2"/>
  <c r="F1048" i="2"/>
  <c r="G1048" i="2"/>
  <c r="H1048" i="2"/>
  <c r="I1048" i="2"/>
  <c r="J1048" i="2"/>
  <c r="B1049" i="2"/>
  <c r="C1049" i="2"/>
  <c r="D1049" i="2"/>
  <c r="E1049" i="2"/>
  <c r="F1049" i="2"/>
  <c r="G1049" i="2"/>
  <c r="H1049" i="2"/>
  <c r="I1049" i="2"/>
  <c r="J1049" i="2"/>
  <c r="B1050" i="2"/>
  <c r="C1050" i="2"/>
  <c r="D1050" i="2"/>
  <c r="E1050" i="2"/>
  <c r="F1050" i="2"/>
  <c r="G1050" i="2"/>
  <c r="H1050" i="2"/>
  <c r="I1050" i="2"/>
  <c r="J1050" i="2"/>
  <c r="B1051" i="2"/>
  <c r="C1051" i="2"/>
  <c r="D1051" i="2"/>
  <c r="E1051" i="2"/>
  <c r="F1051" i="2"/>
  <c r="G1051" i="2"/>
  <c r="H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A1060" i="2"/>
  <c r="C1060" i="2"/>
  <c r="D1060" i="2"/>
  <c r="E1060" i="2"/>
  <c r="F1060" i="2"/>
  <c r="G1060" i="2"/>
  <c r="H1060" i="2"/>
  <c r="I1060" i="2"/>
  <c r="J1060" i="2"/>
  <c r="C1061" i="2"/>
  <c r="D1061" i="2"/>
  <c r="E1061" i="2"/>
  <c r="F1061" i="2"/>
  <c r="G1061" i="2"/>
  <c r="H1061" i="2"/>
  <c r="I1061" i="2"/>
  <c r="J1061" i="2"/>
  <c r="C1062" i="2"/>
  <c r="D1062" i="2"/>
  <c r="E1062" i="2"/>
  <c r="F1062" i="2"/>
  <c r="G1062" i="2"/>
  <c r="H1062" i="2"/>
  <c r="I1062" i="2"/>
  <c r="J1062" i="2"/>
  <c r="C1063" i="2"/>
  <c r="D1063" i="2"/>
  <c r="E1063" i="2"/>
  <c r="F1063" i="2"/>
  <c r="G1063" i="2"/>
  <c r="H1063" i="2"/>
  <c r="I1063" i="2"/>
  <c r="J1063" i="2"/>
  <c r="C1064" i="2"/>
  <c r="D1064" i="2"/>
  <c r="E1064" i="2"/>
  <c r="F1064" i="2"/>
  <c r="G1064" i="2"/>
  <c r="H1064" i="2"/>
  <c r="I1064" i="2"/>
  <c r="J1064" i="2"/>
  <c r="C1065" i="2"/>
  <c r="D1065" i="2"/>
  <c r="E1065" i="2"/>
  <c r="F1065" i="2"/>
  <c r="G1065" i="2"/>
  <c r="H1065" i="2"/>
  <c r="I1065" i="2"/>
  <c r="J1065" i="2"/>
  <c r="C1066" i="2"/>
  <c r="D1066" i="2"/>
  <c r="E1066" i="2"/>
  <c r="F1066" i="2"/>
  <c r="G1066" i="2"/>
  <c r="H1066" i="2"/>
  <c r="I1066" i="2"/>
  <c r="J1066" i="2"/>
  <c r="C1067" i="2"/>
  <c r="D1067" i="2"/>
  <c r="E1067" i="2"/>
  <c r="F1067" i="2"/>
  <c r="G1067" i="2"/>
  <c r="H1067" i="2"/>
  <c r="I1067" i="2"/>
  <c r="J1067" i="2"/>
  <c r="C1068" i="2"/>
  <c r="D1068" i="2"/>
  <c r="E1068" i="2"/>
  <c r="F1068" i="2"/>
  <c r="G1068" i="2"/>
  <c r="H1068" i="2"/>
  <c r="I1068" i="2"/>
  <c r="J1068" i="2"/>
  <c r="C1069" i="2"/>
  <c r="D1069" i="2"/>
  <c r="E1069" i="2"/>
  <c r="F1069" i="2"/>
  <c r="G1069" i="2"/>
  <c r="H1069" i="2"/>
  <c r="I1069" i="2"/>
  <c r="J1069" i="2"/>
  <c r="C1070" i="2"/>
  <c r="D1070" i="2"/>
  <c r="E1070" i="2"/>
  <c r="F1070" i="2"/>
  <c r="G1070" i="2"/>
  <c r="H1070" i="2"/>
  <c r="I1070" i="2"/>
  <c r="J1070" i="2"/>
  <c r="C1071" i="2"/>
  <c r="D1071" i="2"/>
  <c r="E1071" i="2"/>
  <c r="F1071" i="2"/>
  <c r="G1071" i="2"/>
  <c r="H1071" i="2"/>
  <c r="I1071" i="2"/>
  <c r="J1071" i="2"/>
  <c r="C1072" i="2"/>
  <c r="D1072" i="2"/>
  <c r="E1072" i="2"/>
  <c r="F1072" i="2"/>
  <c r="G1072" i="2"/>
  <c r="H1072" i="2"/>
  <c r="I1072" i="2"/>
  <c r="J1072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D11" i="1"/>
  <c r="F11" i="1"/>
  <c r="B17" i="1"/>
  <c r="C17" i="1"/>
  <c r="D17" i="1"/>
  <c r="E17" i="1"/>
  <c r="F17" i="1"/>
  <c r="G17" i="1"/>
  <c r="H17" i="1"/>
  <c r="J17" i="1"/>
  <c r="R17" i="1"/>
  <c r="B18" i="1"/>
  <c r="C18" i="1"/>
  <c r="D18" i="1"/>
  <c r="E18" i="1"/>
  <c r="F18" i="1"/>
  <c r="G18" i="1"/>
  <c r="H18" i="1"/>
  <c r="J18" i="1"/>
  <c r="R18" i="1"/>
  <c r="B19" i="1"/>
  <c r="C19" i="1"/>
  <c r="D19" i="1"/>
  <c r="E19" i="1"/>
  <c r="F19" i="1"/>
  <c r="G19" i="1"/>
  <c r="H19" i="1"/>
  <c r="J19" i="1"/>
  <c r="R19" i="1"/>
  <c r="B20" i="1"/>
  <c r="C20" i="1"/>
  <c r="D20" i="1"/>
  <c r="E20" i="1"/>
  <c r="F20" i="1"/>
  <c r="G20" i="1"/>
  <c r="H20" i="1"/>
  <c r="J20" i="1"/>
  <c r="R20" i="1"/>
  <c r="B21" i="1"/>
  <c r="C21" i="1"/>
  <c r="D21" i="1"/>
  <c r="E21" i="1"/>
  <c r="F21" i="1"/>
  <c r="G21" i="1"/>
  <c r="H21" i="1"/>
  <c r="J21" i="1"/>
  <c r="R21" i="1"/>
  <c r="B22" i="1"/>
  <c r="C22" i="1"/>
  <c r="D22" i="1"/>
  <c r="E22" i="1"/>
  <c r="F22" i="1"/>
  <c r="G22" i="1"/>
  <c r="H22" i="1"/>
  <c r="J22" i="1"/>
  <c r="R22" i="1"/>
  <c r="B23" i="1"/>
  <c r="C23" i="1"/>
  <c r="D23" i="1"/>
  <c r="E23" i="1"/>
  <c r="F23" i="1"/>
  <c r="G23" i="1"/>
  <c r="H23" i="1"/>
  <c r="J23" i="1"/>
  <c r="R23" i="1"/>
  <c r="B24" i="1"/>
  <c r="C24" i="1"/>
  <c r="D24" i="1"/>
  <c r="E24" i="1"/>
  <c r="F24" i="1"/>
  <c r="G24" i="1"/>
  <c r="H24" i="1"/>
  <c r="J24" i="1"/>
  <c r="R24" i="1"/>
  <c r="B25" i="1"/>
  <c r="C25" i="1"/>
  <c r="D25" i="1"/>
  <c r="E25" i="1"/>
  <c r="F25" i="1"/>
  <c r="G25" i="1"/>
  <c r="H25" i="1"/>
  <c r="J25" i="1"/>
  <c r="R25" i="1"/>
  <c r="B26" i="1"/>
  <c r="C26" i="1"/>
  <c r="D26" i="1"/>
  <c r="E26" i="1"/>
  <c r="F26" i="1"/>
  <c r="G26" i="1"/>
  <c r="H26" i="1"/>
  <c r="J26" i="1"/>
  <c r="R26" i="1"/>
  <c r="B27" i="1"/>
  <c r="C27" i="1"/>
  <c r="D27" i="1"/>
  <c r="E27" i="1"/>
  <c r="F27" i="1"/>
  <c r="G27" i="1"/>
  <c r="H27" i="1"/>
  <c r="J27" i="1"/>
  <c r="R27" i="1"/>
  <c r="B28" i="1"/>
  <c r="C28" i="1"/>
  <c r="D28" i="1"/>
  <c r="E28" i="1"/>
  <c r="F28" i="1"/>
  <c r="G28" i="1"/>
  <c r="H28" i="1"/>
  <c r="J28" i="1"/>
  <c r="R28" i="1"/>
  <c r="B29" i="1"/>
  <c r="C29" i="1"/>
  <c r="D29" i="1"/>
  <c r="E29" i="1"/>
  <c r="F29" i="1"/>
  <c r="G29" i="1"/>
  <c r="H29" i="1"/>
  <c r="J29" i="1"/>
  <c r="R29" i="1"/>
  <c r="B30" i="1"/>
  <c r="C30" i="1"/>
  <c r="D30" i="1"/>
  <c r="E30" i="1"/>
  <c r="F30" i="1"/>
  <c r="G30" i="1"/>
  <c r="H30" i="1"/>
  <c r="J30" i="1"/>
  <c r="R30" i="1"/>
  <c r="B31" i="1"/>
  <c r="C31" i="1"/>
  <c r="D31" i="1"/>
  <c r="E31" i="1"/>
  <c r="F31" i="1"/>
  <c r="G31" i="1"/>
  <c r="H31" i="1"/>
  <c r="J31" i="1"/>
  <c r="R31" i="1"/>
  <c r="B32" i="1"/>
  <c r="C32" i="1"/>
  <c r="D32" i="1"/>
  <c r="E32" i="1"/>
  <c r="F32" i="1"/>
  <c r="G32" i="1"/>
  <c r="H32" i="1"/>
  <c r="J32" i="1"/>
  <c r="R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G1038" i="1"/>
  <c r="H1038" i="1"/>
  <c r="J1038" i="1"/>
  <c r="L1038" i="1"/>
  <c r="M1038" i="1"/>
  <c r="N1038" i="1"/>
  <c r="O1038" i="1"/>
  <c r="P1038" i="1"/>
  <c r="R1038" i="1"/>
  <c r="B1039" i="1"/>
  <c r="C1039" i="1"/>
  <c r="J1039" i="1"/>
  <c r="L1039" i="1"/>
  <c r="M1039" i="1"/>
  <c r="N1039" i="1"/>
  <c r="O1039" i="1"/>
  <c r="P1039" i="1"/>
  <c r="Q1039" i="1"/>
  <c r="D1040" i="1"/>
  <c r="E1040" i="1"/>
  <c r="G1040" i="1"/>
  <c r="H1040" i="1"/>
  <c r="L1040" i="1"/>
  <c r="M1040" i="1"/>
  <c r="N1040" i="1"/>
  <c r="O1040" i="1"/>
  <c r="P1040" i="1"/>
  <c r="Q1040" i="1"/>
  <c r="B1041" i="1"/>
  <c r="L1041" i="1"/>
  <c r="M1041" i="1"/>
  <c r="N1041" i="1"/>
  <c r="O1041" i="1"/>
  <c r="P1041" i="1"/>
  <c r="Q1041" i="1"/>
  <c r="G1042" i="1"/>
  <c r="I1042" i="1"/>
  <c r="J1042" i="1"/>
  <c r="L1042" i="1"/>
  <c r="M1042" i="1"/>
  <c r="N1042" i="1"/>
  <c r="O1042" i="1"/>
  <c r="P1042" i="1"/>
  <c r="Q1042" i="1"/>
  <c r="B1043" i="1"/>
  <c r="C1043" i="1"/>
  <c r="J1043" i="1"/>
  <c r="L1043" i="1"/>
  <c r="M1043" i="1"/>
  <c r="N1043" i="1"/>
  <c r="O1043" i="1"/>
  <c r="P1043" i="1"/>
  <c r="Q1043" i="1"/>
  <c r="E1044" i="1"/>
  <c r="F1044" i="1"/>
  <c r="G1044" i="1"/>
  <c r="H1044" i="1"/>
  <c r="L1044" i="1"/>
  <c r="M1044" i="1"/>
  <c r="N1044" i="1"/>
  <c r="O1044" i="1"/>
  <c r="P1044" i="1"/>
  <c r="Q1044" i="1"/>
  <c r="B1045" i="1"/>
  <c r="L1045" i="1"/>
  <c r="M1045" i="1"/>
  <c r="N1045" i="1"/>
  <c r="O1045" i="1"/>
  <c r="P1045" i="1"/>
  <c r="Q1045" i="1"/>
  <c r="F1046" i="1"/>
  <c r="I1046" i="1"/>
  <c r="J1046" i="1"/>
  <c r="L1046" i="1"/>
  <c r="M1046" i="1"/>
  <c r="N1046" i="1"/>
  <c r="O1046" i="1"/>
  <c r="P1046" i="1"/>
  <c r="Q1046" i="1"/>
  <c r="B1047" i="1"/>
  <c r="C1047" i="1"/>
  <c r="H1047" i="1"/>
  <c r="L1047" i="1"/>
  <c r="M1047" i="1"/>
  <c r="N1047" i="1"/>
  <c r="O1047" i="1"/>
  <c r="P1047" i="1"/>
  <c r="Q1047" i="1"/>
  <c r="E1048" i="1"/>
  <c r="G1048" i="1"/>
  <c r="H1048" i="1"/>
  <c r="I1048" i="1"/>
  <c r="L1048" i="1"/>
  <c r="M1048" i="1"/>
  <c r="N1048" i="1"/>
  <c r="O1048" i="1"/>
  <c r="P1048" i="1"/>
  <c r="Q1048" i="1"/>
  <c r="B1049" i="1"/>
  <c r="L1049" i="1"/>
  <c r="M1049" i="1"/>
  <c r="N1049" i="1"/>
  <c r="O1049" i="1"/>
  <c r="P1049" i="1"/>
  <c r="Q1049" i="1"/>
  <c r="E1050" i="1"/>
  <c r="I1050" i="1"/>
  <c r="J1050" i="1"/>
  <c r="L1050" i="1"/>
  <c r="M1050" i="1"/>
  <c r="N1050" i="1"/>
  <c r="O1050" i="1"/>
  <c r="P1050" i="1"/>
  <c r="Q1050" i="1"/>
  <c r="B1051" i="1"/>
  <c r="C1051" i="1"/>
  <c r="G1051" i="1"/>
  <c r="L1051" i="1"/>
  <c r="M1051" i="1"/>
  <c r="N1051" i="1"/>
  <c r="O1051" i="1"/>
  <c r="P1051" i="1"/>
  <c r="Q1051" i="1"/>
  <c r="F1052" i="1"/>
  <c r="G1052" i="1"/>
  <c r="H1052" i="1"/>
  <c r="I1052" i="1"/>
  <c r="L1052" i="1"/>
  <c r="M1052" i="1"/>
  <c r="N1052" i="1"/>
  <c r="O1052" i="1"/>
  <c r="P1052" i="1"/>
  <c r="Q1052" i="1"/>
  <c r="B1053" i="1"/>
  <c r="D1053" i="1"/>
  <c r="L1053" i="1"/>
  <c r="M1053" i="1"/>
  <c r="N1053" i="1"/>
  <c r="O1053" i="1"/>
  <c r="P1053" i="1"/>
  <c r="Q1053" i="1"/>
  <c r="E1054" i="1"/>
  <c r="J1054" i="1"/>
  <c r="L1054" i="1"/>
  <c r="M1054" i="1"/>
  <c r="N1054" i="1"/>
  <c r="O1054" i="1"/>
  <c r="P1054" i="1"/>
  <c r="Q1054" i="1"/>
  <c r="D1055" i="1"/>
  <c r="F1055" i="1"/>
  <c r="L1055" i="1"/>
  <c r="M1055" i="1"/>
  <c r="N1055" i="1"/>
  <c r="O1055" i="1"/>
  <c r="P1055" i="1"/>
  <c r="Q1055" i="1"/>
  <c r="G1056" i="1"/>
  <c r="H1056" i="1"/>
  <c r="I1056" i="1"/>
  <c r="J1056" i="1"/>
  <c r="L1056" i="1"/>
  <c r="M1056" i="1"/>
  <c r="N1056" i="1"/>
  <c r="O1056" i="1"/>
  <c r="P1056" i="1"/>
  <c r="Q1056" i="1"/>
  <c r="B1057" i="1"/>
  <c r="D1057" i="1"/>
  <c r="L1057" i="1"/>
  <c r="M1057" i="1"/>
  <c r="N1057" i="1"/>
  <c r="O1057" i="1"/>
  <c r="P1057" i="1"/>
  <c r="Q1057" i="1"/>
  <c r="E1058" i="1"/>
  <c r="F1058" i="1"/>
  <c r="L1058" i="1"/>
  <c r="M1058" i="1"/>
  <c r="N1058" i="1"/>
  <c r="O1058" i="1"/>
  <c r="P1058" i="1"/>
  <c r="Q1058" i="1"/>
  <c r="H1059" i="1"/>
  <c r="J1059" i="1"/>
  <c r="L1059" i="1"/>
  <c r="M1059" i="1"/>
  <c r="N1059" i="1"/>
  <c r="O1059" i="1"/>
  <c r="P1059" i="1"/>
  <c r="Q1059" i="1"/>
  <c r="A1060" i="1"/>
  <c r="B1060" i="1"/>
  <c r="D1060" i="1"/>
  <c r="E1060" i="1"/>
  <c r="F1060" i="1"/>
  <c r="L1060" i="1"/>
  <c r="M1060" i="1"/>
  <c r="N1060" i="1"/>
  <c r="O1060" i="1"/>
  <c r="P1060" i="1"/>
  <c r="Q1060" i="1"/>
  <c r="A1061" i="1"/>
  <c r="C1061" i="1"/>
  <c r="E1061" i="1"/>
  <c r="H1061" i="1"/>
  <c r="L1061" i="1"/>
  <c r="M1061" i="1"/>
  <c r="N1061" i="1"/>
  <c r="O1061" i="1"/>
  <c r="P1061" i="1"/>
  <c r="Q1061" i="1"/>
  <c r="A1062" i="1"/>
  <c r="F1062" i="1"/>
  <c r="H1062" i="1"/>
  <c r="J1062" i="1"/>
  <c r="L1062" i="1"/>
  <c r="M1062" i="1"/>
  <c r="N1062" i="1"/>
  <c r="O1062" i="1"/>
  <c r="P1062" i="1"/>
  <c r="Q1062" i="1"/>
  <c r="A1063" i="1"/>
  <c r="B1063" i="1"/>
  <c r="C1063" i="1"/>
  <c r="H1063" i="1"/>
  <c r="L1063" i="1"/>
  <c r="M1063" i="1"/>
  <c r="N1063" i="1"/>
  <c r="O1063" i="1"/>
  <c r="P1063" i="1"/>
  <c r="Q1063" i="1"/>
  <c r="A1064" i="1"/>
  <c r="D1064" i="1"/>
  <c r="E1064" i="1"/>
  <c r="L1064" i="1"/>
  <c r="M1064" i="1"/>
  <c r="N1064" i="1"/>
  <c r="O1064" i="1"/>
  <c r="P1064" i="1"/>
  <c r="Q1064" i="1"/>
  <c r="A1065" i="1"/>
  <c r="C1065" i="1"/>
  <c r="D1065" i="1"/>
  <c r="E1065" i="1"/>
  <c r="G1065" i="1"/>
  <c r="L1065" i="1"/>
  <c r="M1065" i="1"/>
  <c r="N1065" i="1"/>
  <c r="O1065" i="1"/>
  <c r="P1065" i="1"/>
  <c r="Q1065" i="1"/>
  <c r="A1066" i="1"/>
  <c r="E1066" i="1"/>
  <c r="H1066" i="1"/>
  <c r="L1066" i="1"/>
  <c r="M1066" i="1"/>
  <c r="N1066" i="1"/>
  <c r="O1066" i="1"/>
  <c r="P1066" i="1"/>
  <c r="Q1066" i="1"/>
  <c r="A1067" i="1"/>
  <c r="C1067" i="1"/>
  <c r="D1067" i="1"/>
  <c r="H1067" i="1"/>
  <c r="J1067" i="1"/>
  <c r="L1067" i="1"/>
  <c r="M1067" i="1"/>
  <c r="N1067" i="1"/>
  <c r="O1067" i="1"/>
  <c r="P1067" i="1"/>
  <c r="Q1067" i="1"/>
  <c r="A1068" i="1"/>
  <c r="B1068" i="1"/>
  <c r="D1068" i="1"/>
  <c r="E1068" i="1"/>
  <c r="L1068" i="1"/>
  <c r="M1068" i="1"/>
  <c r="N1068" i="1"/>
  <c r="O1068" i="1"/>
  <c r="P1068" i="1"/>
  <c r="Q1068" i="1"/>
  <c r="A1069" i="1"/>
  <c r="F1069" i="1"/>
  <c r="H1069" i="1"/>
  <c r="L1069" i="1"/>
  <c r="M1069" i="1"/>
  <c r="N1069" i="1"/>
  <c r="O1069" i="1"/>
  <c r="P1069" i="1"/>
  <c r="Q1069" i="1"/>
  <c r="A1070" i="1"/>
  <c r="F1070" i="1"/>
  <c r="G1070" i="1"/>
  <c r="H1070" i="1"/>
  <c r="J1070" i="1"/>
  <c r="L1070" i="1"/>
  <c r="M1070" i="1"/>
  <c r="N1070" i="1"/>
  <c r="O1070" i="1"/>
  <c r="P1070" i="1"/>
  <c r="Q1070" i="1"/>
  <c r="A1071" i="1"/>
  <c r="B1071" i="1"/>
  <c r="J1071" i="1"/>
  <c r="L1071" i="1"/>
  <c r="M1071" i="1"/>
  <c r="N1071" i="1"/>
  <c r="O1071" i="1"/>
  <c r="P1071" i="1"/>
  <c r="Q1071" i="1"/>
  <c r="A1072" i="1"/>
  <c r="B1072" i="1"/>
  <c r="C1072" i="1"/>
  <c r="D1072" i="1"/>
  <c r="L1072" i="1"/>
  <c r="M1072" i="1"/>
  <c r="N1072" i="1"/>
  <c r="O1072" i="1"/>
  <c r="P1072" i="1"/>
  <c r="Q1072" i="1"/>
  <c r="A1073" i="1"/>
  <c r="D1073" i="1"/>
  <c r="E1073" i="1"/>
  <c r="L1073" i="1"/>
  <c r="M1073" i="1"/>
  <c r="N1073" i="1"/>
  <c r="O1073" i="1"/>
  <c r="P1073" i="1"/>
  <c r="Q1073" i="1"/>
  <c r="A1074" i="1"/>
  <c r="F1074" i="1"/>
  <c r="G1074" i="1"/>
  <c r="H1074" i="1"/>
  <c r="L1074" i="1"/>
  <c r="M1074" i="1"/>
  <c r="N1074" i="1"/>
  <c r="O1074" i="1"/>
  <c r="P1074" i="1"/>
  <c r="Q1074" i="1"/>
  <c r="A1075" i="1"/>
  <c r="C1075" i="1"/>
  <c r="D1075" i="1"/>
  <c r="H1075" i="1"/>
  <c r="J1075" i="1"/>
  <c r="L1075" i="1"/>
  <c r="M1075" i="1"/>
  <c r="N1075" i="1"/>
  <c r="O1075" i="1"/>
  <c r="P1075" i="1"/>
  <c r="Q1075" i="1"/>
  <c r="A1076" i="1"/>
  <c r="B1076" i="1"/>
  <c r="L1076" i="1"/>
  <c r="M1076" i="1"/>
  <c r="N1076" i="1"/>
  <c r="O1076" i="1"/>
  <c r="P1076" i="1"/>
  <c r="Q1076" i="1"/>
  <c r="A1077" i="1"/>
  <c r="E1077" i="1"/>
  <c r="F1077" i="1"/>
  <c r="G1077" i="1"/>
  <c r="H1077" i="1"/>
  <c r="L1077" i="1"/>
  <c r="M1077" i="1"/>
  <c r="N1077" i="1"/>
  <c r="O1077" i="1"/>
  <c r="P1077" i="1"/>
  <c r="Q1077" i="1"/>
  <c r="A1078" i="1"/>
  <c r="F1078" i="1"/>
  <c r="G1078" i="1"/>
  <c r="L1078" i="1"/>
  <c r="M1078" i="1"/>
  <c r="N1078" i="1"/>
  <c r="O1078" i="1"/>
  <c r="P1078" i="1"/>
  <c r="Q1078" i="1"/>
  <c r="A1079" i="1"/>
  <c r="C1079" i="1"/>
  <c r="H1079" i="1"/>
  <c r="J1079" i="1"/>
  <c r="L1079" i="1"/>
  <c r="M1079" i="1"/>
  <c r="N1079" i="1"/>
  <c r="O1079" i="1"/>
  <c r="P1079" i="1"/>
  <c r="Q1079" i="1"/>
  <c r="A1080" i="1"/>
  <c r="B1080" i="1"/>
  <c r="D1080" i="1"/>
  <c r="E1080" i="1"/>
  <c r="L1080" i="1"/>
  <c r="M1080" i="1"/>
  <c r="N1080" i="1"/>
  <c r="O1080" i="1"/>
  <c r="P1080" i="1"/>
  <c r="Q1080" i="1"/>
  <c r="A1081" i="1"/>
  <c r="C1081" i="1"/>
  <c r="F1081" i="1"/>
  <c r="G1081" i="1"/>
  <c r="L1081" i="1"/>
  <c r="M1081" i="1"/>
  <c r="N1081" i="1"/>
  <c r="O1081" i="1"/>
  <c r="P1081" i="1"/>
  <c r="Q1081" i="1"/>
  <c r="A1082" i="1"/>
  <c r="E1082" i="1"/>
  <c r="F1082" i="1"/>
  <c r="G1082" i="1"/>
  <c r="H1082" i="1"/>
  <c r="L1082" i="1"/>
  <c r="M1082" i="1"/>
  <c r="N1082" i="1"/>
  <c r="O1082" i="1"/>
  <c r="P1082" i="1"/>
  <c r="Q1082" i="1"/>
  <c r="A1083" i="1"/>
  <c r="C1083" i="1"/>
  <c r="L1083" i="1"/>
  <c r="M1083" i="1"/>
  <c r="N1083" i="1"/>
  <c r="O1083" i="1"/>
  <c r="P1083" i="1"/>
  <c r="Q1083" i="1"/>
  <c r="A1084" i="1"/>
  <c r="E1084" i="1"/>
  <c r="F1084" i="1"/>
  <c r="L1084" i="1"/>
  <c r="M1084" i="1"/>
  <c r="N1084" i="1"/>
  <c r="O1084" i="1"/>
  <c r="P1084" i="1"/>
  <c r="Q1084" i="1"/>
  <c r="A1085" i="1"/>
  <c r="B1085" i="1" s="1"/>
  <c r="C1085" i="1"/>
  <c r="E1085" i="1"/>
  <c r="F1085" i="1"/>
  <c r="G1085" i="1"/>
  <c r="N1085" i="1"/>
  <c r="O1085" i="1"/>
  <c r="P1085" i="1"/>
  <c r="Q1085" i="1"/>
  <c r="A1086" i="1"/>
  <c r="F1086" i="1"/>
  <c r="Q1086" i="1"/>
  <c r="H1085" i="1" l="1"/>
  <c r="J1085" i="1"/>
  <c r="D1084" i="1"/>
  <c r="G1083" i="1"/>
  <c r="H1083" i="1"/>
  <c r="J1083" i="1"/>
  <c r="B1083" i="1"/>
  <c r="D1083" i="1"/>
  <c r="C1082" i="1"/>
  <c r="D1082" i="1"/>
  <c r="J1081" i="1"/>
  <c r="B1081" i="1"/>
  <c r="C1080" i="1"/>
  <c r="F1080" i="1"/>
  <c r="G1079" i="1"/>
  <c r="B1079" i="1"/>
  <c r="C1078" i="1"/>
  <c r="D1078" i="1"/>
  <c r="J1077" i="1"/>
  <c r="B1077" i="1"/>
  <c r="C1077" i="1"/>
  <c r="D1076" i="1"/>
  <c r="E1076" i="1"/>
  <c r="F1076" i="1"/>
  <c r="G1075" i="1"/>
  <c r="B1075" i="1"/>
  <c r="C1074" i="1"/>
  <c r="D1074" i="1"/>
  <c r="E1074" i="1"/>
  <c r="G1073" i="1"/>
  <c r="J1073" i="1"/>
  <c r="B1073" i="1"/>
  <c r="C1073" i="1"/>
  <c r="E1072" i="1"/>
  <c r="D1077" i="3"/>
  <c r="D1068" i="3"/>
  <c r="D1066" i="3"/>
  <c r="D1053" i="3"/>
  <c r="G1116" i="4"/>
  <c r="I1089" i="4"/>
  <c r="C1064" i="4"/>
  <c r="C1052" i="4"/>
  <c r="K1051" i="4"/>
  <c r="J1085" i="4"/>
  <c r="F1072" i="1"/>
  <c r="G1071" i="1"/>
  <c r="H1071" i="1"/>
  <c r="C1070" i="1"/>
  <c r="D1070" i="1"/>
  <c r="G1069" i="1"/>
  <c r="J1069" i="1"/>
  <c r="B1069" i="1"/>
  <c r="F1068" i="1"/>
  <c r="G1067" i="1"/>
  <c r="B1067" i="1"/>
  <c r="C1066" i="1"/>
  <c r="D1066" i="1"/>
  <c r="F1066" i="1"/>
  <c r="J1065" i="1"/>
  <c r="B1065" i="1"/>
  <c r="F1065" i="1"/>
  <c r="C1064" i="1"/>
  <c r="F1064" i="1"/>
  <c r="G1063" i="1"/>
  <c r="J1063" i="1"/>
  <c r="C1062" i="1"/>
  <c r="D1062" i="1"/>
  <c r="G1062" i="1"/>
  <c r="G1061" i="1"/>
  <c r="J1061" i="1"/>
  <c r="B1061" i="1"/>
  <c r="G1059" i="1"/>
  <c r="B1059" i="1"/>
  <c r="C1058" i="1"/>
  <c r="D1058" i="1"/>
  <c r="C1057" i="1"/>
  <c r="H1057" i="1"/>
  <c r="I1057" i="1"/>
  <c r="J1057" i="1"/>
  <c r="E1056" i="1"/>
  <c r="G1055" i="1"/>
  <c r="H1055" i="1"/>
  <c r="I1055" i="1"/>
  <c r="J1055" i="1"/>
  <c r="B1055" i="1"/>
  <c r="C1054" i="1"/>
  <c r="F1054" i="1"/>
  <c r="H1053" i="1"/>
  <c r="I1053" i="1"/>
  <c r="J1053" i="1"/>
  <c r="E1052" i="1"/>
  <c r="J1051" i="1"/>
  <c r="C1050" i="1"/>
  <c r="D1050" i="1"/>
  <c r="F1050" i="1"/>
  <c r="H1049" i="1"/>
  <c r="I1049" i="1"/>
  <c r="J1049" i="1"/>
  <c r="C1049" i="1"/>
  <c r="D1048" i="1"/>
  <c r="J1048" i="1"/>
  <c r="G1047" i="1"/>
  <c r="J1047" i="1"/>
  <c r="C1046" i="1"/>
  <c r="E1046" i="1"/>
  <c r="G1045" i="1"/>
  <c r="H1045" i="1"/>
  <c r="I1045" i="1"/>
  <c r="J1045" i="1"/>
  <c r="D1045" i="1"/>
  <c r="D1044" i="1"/>
  <c r="I1044" i="1"/>
  <c r="C1042" i="1"/>
  <c r="D1042" i="1"/>
  <c r="F1042" i="1"/>
  <c r="H1041" i="1"/>
  <c r="I1041" i="1"/>
  <c r="J1041" i="1"/>
  <c r="E1041" i="1"/>
  <c r="C1040" i="1"/>
  <c r="I1040" i="1"/>
  <c r="G1039" i="1"/>
  <c r="I1039" i="1"/>
  <c r="D1038" i="1"/>
  <c r="F1038" i="1"/>
  <c r="B1038" i="1"/>
  <c r="B1070" i="3"/>
  <c r="B1057" i="3"/>
  <c r="B1039" i="3"/>
  <c r="E1061" i="3"/>
  <c r="E1059" i="3"/>
  <c r="G1121" i="4"/>
  <c r="G1119" i="4"/>
  <c r="G1118" i="4"/>
  <c r="G1113" i="4"/>
  <c r="G1112" i="4"/>
  <c r="G1109" i="4"/>
  <c r="G1108" i="4"/>
  <c r="G1107" i="4"/>
  <c r="G1104" i="4"/>
  <c r="G1101" i="4"/>
  <c r="G1100" i="4"/>
  <c r="G1098" i="4"/>
  <c r="G1096" i="4"/>
  <c r="G1095" i="4"/>
  <c r="G1093" i="4"/>
  <c r="G1090" i="4"/>
  <c r="G1085" i="4"/>
  <c r="G1083" i="4"/>
  <c r="G1079" i="4"/>
  <c r="G1078" i="4"/>
  <c r="G1075" i="4"/>
  <c r="G1071" i="4"/>
  <c r="G1070" i="4"/>
  <c r="G1068" i="4"/>
  <c r="G1067" i="4"/>
  <c r="G1066" i="4"/>
  <c r="G1062" i="4"/>
  <c r="G1059" i="4"/>
  <c r="G1055" i="4"/>
  <c r="G1054" i="4"/>
  <c r="G1051" i="4"/>
  <c r="G1047" i="4"/>
  <c r="G1046" i="4"/>
  <c r="G1039" i="4"/>
  <c r="F1115" i="4"/>
  <c r="F1110" i="4"/>
  <c r="F1109" i="4"/>
  <c r="F1108" i="4"/>
  <c r="H1106" i="4"/>
  <c r="F1102" i="4"/>
  <c r="F1101" i="4"/>
  <c r="F1099" i="4"/>
  <c r="F1098" i="4"/>
  <c r="F1097" i="4"/>
  <c r="F1095" i="4"/>
  <c r="F1093" i="4"/>
  <c r="F1091" i="4"/>
  <c r="F1090" i="4"/>
  <c r="F1089" i="4"/>
  <c r="F1088" i="4"/>
  <c r="F1087" i="4"/>
  <c r="F1086" i="4"/>
  <c r="B1085" i="4"/>
  <c r="F1085" i="4"/>
  <c r="F1084" i="4"/>
  <c r="F1083" i="4"/>
  <c r="F1082" i="4"/>
  <c r="F1081" i="4"/>
  <c r="F1080" i="4"/>
  <c r="F1079" i="4"/>
  <c r="F1078" i="4"/>
  <c r="F1076" i="4"/>
  <c r="J1075" i="4"/>
  <c r="F1075" i="4"/>
  <c r="F1074" i="4"/>
  <c r="D1073" i="4"/>
  <c r="F1073" i="4"/>
  <c r="F1072" i="4"/>
  <c r="F1071" i="4"/>
  <c r="F1070" i="4"/>
  <c r="F1069" i="4"/>
  <c r="F1068" i="4"/>
  <c r="H1067" i="4"/>
  <c r="F1067" i="4"/>
  <c r="F1066" i="4"/>
  <c r="F1065" i="4"/>
  <c r="D1064" i="4"/>
  <c r="F1064" i="4"/>
  <c r="F1063" i="4"/>
  <c r="F1062" i="4"/>
  <c r="F1061" i="4"/>
  <c r="B1060" i="4"/>
  <c r="F1060" i="4"/>
  <c r="F1059" i="4"/>
  <c r="F1058" i="4"/>
  <c r="F1057" i="4"/>
  <c r="H1056" i="4"/>
  <c r="F1056" i="4"/>
  <c r="F1055" i="4"/>
  <c r="F1054" i="4"/>
  <c r="F1053" i="4"/>
  <c r="F1052" i="4"/>
  <c r="J1051" i="4"/>
  <c r="F1051" i="4"/>
  <c r="F1050" i="4"/>
  <c r="F1049" i="4"/>
  <c r="F1048" i="4"/>
  <c r="F1047" i="4"/>
  <c r="J1046" i="4"/>
  <c r="F1046" i="4"/>
  <c r="F1045" i="4"/>
  <c r="B1044" i="4"/>
  <c r="F1044" i="4"/>
  <c r="H1043" i="4"/>
  <c r="F1043" i="4"/>
  <c r="F1042" i="4"/>
  <c r="F1041" i="4"/>
  <c r="J1040" i="4"/>
  <c r="F1040" i="4"/>
  <c r="D1039" i="4"/>
  <c r="F1039" i="4"/>
  <c r="H1038" i="4"/>
  <c r="H1077" i="4"/>
  <c r="F1038" i="4"/>
  <c r="F1077" i="4"/>
  <c r="D1086" i="1"/>
  <c r="M1086" i="1"/>
  <c r="B1086" i="1"/>
  <c r="L1086" i="1"/>
  <c r="C1086" i="1"/>
  <c r="N1086" i="1"/>
  <c r="E1086" i="1"/>
  <c r="O1086" i="1"/>
  <c r="H1086" i="1"/>
  <c r="I1086" i="1"/>
  <c r="G1086" i="1"/>
  <c r="J1086" i="1"/>
  <c r="P1086" i="1"/>
  <c r="A1087" i="1"/>
  <c r="I1122" i="4"/>
  <c r="K1122" i="4"/>
  <c r="C1122" i="4"/>
  <c r="E1122" i="4"/>
  <c r="I1121" i="4"/>
  <c r="K1121" i="4"/>
  <c r="C1121" i="4"/>
  <c r="E1121" i="4"/>
  <c r="I1120" i="4"/>
  <c r="K1120" i="4"/>
  <c r="C1120" i="4"/>
  <c r="E1120" i="4"/>
  <c r="I1119" i="4"/>
  <c r="K1119" i="4"/>
  <c r="C1119" i="4"/>
  <c r="E1119" i="4"/>
  <c r="I1118" i="4"/>
  <c r="K1118" i="4"/>
  <c r="C1118" i="4"/>
  <c r="E1118" i="4"/>
  <c r="I1117" i="4"/>
  <c r="K1117" i="4"/>
  <c r="C1117" i="4"/>
  <c r="E1117" i="4"/>
  <c r="I1116" i="4"/>
  <c r="K1116" i="4"/>
  <c r="C1116" i="4"/>
  <c r="E1116" i="4"/>
  <c r="I1115" i="4"/>
  <c r="K1115" i="4"/>
  <c r="C1115" i="4"/>
  <c r="E1115" i="4"/>
  <c r="I1114" i="4"/>
  <c r="K1114" i="4"/>
  <c r="C1114" i="4"/>
  <c r="E1114" i="4"/>
  <c r="I1113" i="4"/>
  <c r="K1113" i="4"/>
  <c r="C1113" i="4"/>
  <c r="E1113" i="4"/>
  <c r="I1112" i="4"/>
  <c r="K1112" i="4"/>
  <c r="C1112" i="4"/>
  <c r="G1120" i="4"/>
  <c r="G1117" i="4"/>
  <c r="G1110" i="4"/>
  <c r="G1106" i="4"/>
  <c r="G1105" i="4"/>
  <c r="G1102" i="4"/>
  <c r="G1099" i="4"/>
  <c r="G1094" i="4"/>
  <c r="G1091" i="4"/>
  <c r="G1089" i="4"/>
  <c r="G1088" i="4"/>
  <c r="G1084" i="4"/>
  <c r="G1082" i="4"/>
  <c r="G1076" i="4"/>
  <c r="G1074" i="4"/>
  <c r="G1073" i="4"/>
  <c r="G1072" i="4"/>
  <c r="G1069" i="4"/>
  <c r="G1064" i="4"/>
  <c r="G1061" i="4"/>
  <c r="G1060" i="4"/>
  <c r="G1057" i="4"/>
  <c r="G1053" i="4"/>
  <c r="G1045" i="4"/>
  <c r="G1044" i="4"/>
  <c r="C1043" i="4"/>
  <c r="G1042" i="4"/>
  <c r="G1041" i="4"/>
  <c r="G1077" i="4"/>
  <c r="G1038" i="4"/>
  <c r="F1121" i="4"/>
  <c r="F1120" i="4"/>
  <c r="F1118" i="4"/>
  <c r="F1117" i="4"/>
  <c r="F1114" i="4"/>
  <c r="F1113" i="4"/>
  <c r="F1105" i="4"/>
  <c r="F1103" i="4"/>
  <c r="F1100" i="4"/>
  <c r="F1096" i="4"/>
  <c r="F1092" i="4"/>
  <c r="C1084" i="3"/>
  <c r="A1085" i="3"/>
  <c r="E1084" i="3"/>
  <c r="B1084" i="3"/>
  <c r="D1084" i="3"/>
  <c r="G1122" i="4"/>
  <c r="G1115" i="4"/>
  <c r="G1114" i="4"/>
  <c r="G1111" i="4"/>
  <c r="G1103" i="4"/>
  <c r="G1097" i="4"/>
  <c r="G1092" i="4"/>
  <c r="G1087" i="4"/>
  <c r="G1086" i="4"/>
  <c r="G1081" i="4"/>
  <c r="G1080" i="4"/>
  <c r="G1065" i="4"/>
  <c r="G1063" i="4"/>
  <c r="G1058" i="4"/>
  <c r="G1056" i="4"/>
  <c r="G1052" i="4"/>
  <c r="G1050" i="4"/>
  <c r="G1049" i="4"/>
  <c r="G1048" i="4"/>
  <c r="G1043" i="4"/>
  <c r="G1040" i="4"/>
  <c r="F1122" i="4"/>
  <c r="F1119" i="4"/>
  <c r="F1116" i="4"/>
  <c r="F1112" i="4"/>
  <c r="F1111" i="4"/>
  <c r="H1108" i="4"/>
  <c r="F1107" i="4"/>
  <c r="F1106" i="4"/>
  <c r="F1104" i="4"/>
  <c r="F1094" i="4"/>
  <c r="E1112" i="4"/>
  <c r="I1111" i="4"/>
  <c r="K1111" i="4"/>
  <c r="C1111" i="4"/>
  <c r="E1111" i="4"/>
  <c r="I1110" i="4"/>
  <c r="K1110" i="4"/>
  <c r="C1110" i="4"/>
  <c r="E1110" i="4"/>
  <c r="I1109" i="4"/>
  <c r="K1109" i="4"/>
  <c r="C1109" i="4"/>
  <c r="E1109" i="4"/>
  <c r="I1108" i="4"/>
  <c r="K1108" i="4"/>
  <c r="C1108" i="4"/>
  <c r="E1108" i="4"/>
  <c r="I1107" i="4"/>
  <c r="K1107" i="4"/>
  <c r="C1107" i="4"/>
  <c r="E1107" i="4"/>
  <c r="I1106" i="4"/>
  <c r="K1106" i="4"/>
  <c r="C1106" i="4"/>
  <c r="E1106" i="4"/>
  <c r="I1105" i="4"/>
  <c r="K1105" i="4"/>
  <c r="C1105" i="4"/>
  <c r="E1105" i="4"/>
  <c r="I1104" i="4"/>
  <c r="K1104" i="4"/>
  <c r="C1104" i="4"/>
  <c r="E1104" i="4"/>
  <c r="I1103" i="4"/>
  <c r="K1103" i="4"/>
  <c r="C1103" i="4"/>
  <c r="E1103" i="4"/>
  <c r="I1102" i="4"/>
  <c r="K1102" i="4"/>
  <c r="C1102" i="4"/>
  <c r="E1102" i="4"/>
  <c r="I1101" i="4"/>
  <c r="K1101" i="4"/>
  <c r="C1101" i="4"/>
  <c r="E1101" i="4"/>
  <c r="I1100" i="4"/>
  <c r="K1100" i="4"/>
  <c r="C1100" i="4"/>
  <c r="E1100" i="4"/>
  <c r="I1099" i="4"/>
  <c r="K1099" i="4"/>
  <c r="C1099" i="4"/>
  <c r="E1099" i="4"/>
  <c r="I1098" i="4"/>
  <c r="K1098" i="4"/>
  <c r="C1098" i="4"/>
  <c r="E1098" i="4"/>
  <c r="K1097" i="4"/>
  <c r="C1097" i="4"/>
  <c r="E1097" i="4"/>
  <c r="I1096" i="4"/>
  <c r="K1096" i="4"/>
  <c r="C1096" i="4"/>
  <c r="E1096" i="4"/>
  <c r="I1095" i="4"/>
  <c r="K1095" i="4"/>
  <c r="C1095" i="4"/>
  <c r="E1095" i="4"/>
  <c r="I1094" i="4"/>
  <c r="K1094" i="4"/>
  <c r="C1094" i="4"/>
  <c r="E1094" i="4"/>
  <c r="I1093" i="4"/>
  <c r="K1093" i="4"/>
  <c r="C1093" i="4"/>
  <c r="E1093" i="4"/>
  <c r="I1092" i="4"/>
  <c r="K1092" i="4"/>
  <c r="C1092" i="4"/>
  <c r="E1092" i="4"/>
  <c r="I1091" i="4"/>
  <c r="K1091" i="4"/>
  <c r="C1091" i="4"/>
  <c r="E1091" i="4"/>
  <c r="I1090" i="4"/>
  <c r="K1090" i="4"/>
  <c r="C1090" i="4"/>
  <c r="E1090" i="4"/>
  <c r="K1089" i="4"/>
  <c r="C1089" i="4"/>
  <c r="E1089" i="4"/>
  <c r="I1088" i="4"/>
  <c r="K1088" i="4"/>
  <c r="C1088" i="4"/>
  <c r="E1088" i="4"/>
  <c r="I1087" i="4"/>
  <c r="K1087" i="4"/>
  <c r="C1087" i="4"/>
  <c r="E1087" i="4"/>
  <c r="I1086" i="4"/>
  <c r="K1086" i="4"/>
  <c r="C1086" i="4"/>
  <c r="E1086" i="4"/>
  <c r="I1085" i="4"/>
  <c r="K1085" i="4"/>
  <c r="C1085" i="4"/>
  <c r="E1085" i="4"/>
  <c r="I1084" i="4"/>
  <c r="K1084" i="4"/>
  <c r="C1084" i="4"/>
  <c r="E1084" i="4"/>
  <c r="I1083" i="4"/>
  <c r="K1083" i="4"/>
  <c r="C1083" i="4"/>
  <c r="E1083" i="4"/>
  <c r="I1082" i="4"/>
  <c r="K1082" i="4"/>
  <c r="C1082" i="4"/>
  <c r="E1082" i="4"/>
  <c r="I1081" i="4"/>
  <c r="K1081" i="4"/>
  <c r="C1081" i="4"/>
  <c r="E1081" i="4"/>
  <c r="I1080" i="4"/>
  <c r="K1080" i="4"/>
  <c r="C1080" i="4"/>
  <c r="E1080" i="4"/>
  <c r="I1079" i="4"/>
  <c r="K1079" i="4"/>
  <c r="C1079" i="4"/>
  <c r="E1079" i="4"/>
  <c r="I1078" i="4"/>
  <c r="K1078" i="4"/>
  <c r="C1078" i="4"/>
  <c r="E1078" i="4"/>
  <c r="I1076" i="4"/>
  <c r="K1076" i="4"/>
  <c r="C1076" i="4"/>
  <c r="E1076" i="4"/>
  <c r="I1075" i="4"/>
  <c r="K1075" i="4"/>
  <c r="C1075" i="4"/>
  <c r="E1075" i="4"/>
  <c r="I1074" i="4"/>
  <c r="K1074" i="4"/>
  <c r="C1074" i="4"/>
  <c r="E1074" i="4"/>
  <c r="I1073" i="4"/>
  <c r="K1073" i="4"/>
  <c r="C1073" i="4"/>
  <c r="E1073" i="4"/>
  <c r="I1072" i="4"/>
  <c r="K1072" i="4"/>
  <c r="C1072" i="4"/>
  <c r="E1072" i="4"/>
  <c r="I1071" i="4"/>
  <c r="K1071" i="4"/>
  <c r="C1071" i="4"/>
  <c r="E1071" i="4"/>
  <c r="I1070" i="4"/>
  <c r="K1070" i="4"/>
  <c r="C1070" i="4"/>
  <c r="E1070" i="4"/>
  <c r="I1069" i="4"/>
  <c r="K1069" i="4"/>
  <c r="C1069" i="4"/>
  <c r="E1069" i="4"/>
  <c r="I1068" i="4"/>
  <c r="K1068" i="4"/>
  <c r="C1068" i="4"/>
  <c r="E1068" i="4"/>
  <c r="I1067" i="4"/>
  <c r="K1067" i="4"/>
  <c r="C1067" i="4"/>
  <c r="E1067" i="4"/>
  <c r="I1066" i="4"/>
  <c r="K1066" i="4"/>
  <c r="C1066" i="4"/>
  <c r="E1066" i="4"/>
  <c r="I1065" i="4"/>
  <c r="K1065" i="4"/>
  <c r="C1065" i="4"/>
  <c r="E1065" i="4"/>
  <c r="I1064" i="4"/>
  <c r="K1064" i="4"/>
  <c r="E1064" i="4"/>
  <c r="I1063" i="4"/>
  <c r="K1063" i="4"/>
  <c r="C1063" i="4"/>
  <c r="E1063" i="4"/>
  <c r="I1062" i="4"/>
  <c r="K1062" i="4"/>
  <c r="C1062" i="4"/>
  <c r="E1062" i="4"/>
  <c r="I1061" i="4"/>
  <c r="K1061" i="4"/>
  <c r="C1061" i="4"/>
  <c r="E1061" i="4"/>
  <c r="I1060" i="4"/>
  <c r="K1060" i="4"/>
  <c r="C1060" i="4"/>
  <c r="E1060" i="4"/>
  <c r="I1059" i="4"/>
  <c r="K1059" i="4"/>
  <c r="C1059" i="4"/>
  <c r="E1059" i="4"/>
  <c r="I1058" i="4"/>
  <c r="K1058" i="4"/>
  <c r="C1058" i="4"/>
  <c r="E1058" i="4"/>
  <c r="I1057" i="4"/>
  <c r="K1057" i="4"/>
  <c r="C1057" i="4"/>
  <c r="E1057" i="4"/>
  <c r="I1056" i="4"/>
  <c r="K1056" i="4"/>
  <c r="C1056" i="4"/>
  <c r="E1056" i="4"/>
  <c r="I1055" i="4"/>
  <c r="K1055" i="4"/>
  <c r="C1055" i="4"/>
  <c r="E1055" i="4"/>
  <c r="I1054" i="4"/>
  <c r="K1054" i="4"/>
  <c r="C1054" i="4"/>
  <c r="E1054" i="4"/>
  <c r="I1053" i="4"/>
  <c r="K1053" i="4"/>
  <c r="C1053" i="4"/>
  <c r="E1053" i="4"/>
  <c r="I1052" i="4"/>
  <c r="K1052" i="4"/>
  <c r="E1052" i="4"/>
  <c r="I1051" i="4"/>
  <c r="C1051" i="4"/>
  <c r="E1051" i="4"/>
  <c r="I1050" i="4"/>
  <c r="K1050" i="4"/>
  <c r="C1050" i="4"/>
  <c r="E1050" i="4"/>
  <c r="I1049" i="4"/>
  <c r="K1049" i="4"/>
  <c r="C1049" i="4"/>
  <c r="E1049" i="4"/>
  <c r="I1048" i="4"/>
  <c r="K1048" i="4"/>
  <c r="C1048" i="4"/>
  <c r="E1048" i="4"/>
  <c r="I1047" i="4"/>
  <c r="K1047" i="4"/>
  <c r="C1047" i="4"/>
  <c r="E1047" i="4"/>
  <c r="I1046" i="4"/>
  <c r="K1046" i="4"/>
  <c r="C1046" i="4"/>
  <c r="E1046" i="4"/>
  <c r="I1045" i="4"/>
  <c r="K1045" i="4"/>
  <c r="C1045" i="4"/>
  <c r="E1045" i="4"/>
  <c r="I1044" i="4"/>
  <c r="K1044" i="4"/>
  <c r="C1044" i="4"/>
  <c r="E1044" i="4"/>
  <c r="I1043" i="4"/>
  <c r="K1043" i="4"/>
  <c r="E1043" i="4"/>
  <c r="I1042" i="4"/>
  <c r="K1042" i="4"/>
  <c r="C1042" i="4"/>
  <c r="E1042" i="4"/>
  <c r="I1041" i="4"/>
  <c r="K1041" i="4"/>
  <c r="C1041" i="4"/>
  <c r="E1041" i="4"/>
  <c r="I1040" i="4"/>
  <c r="K1040" i="4"/>
  <c r="C1040" i="4"/>
  <c r="E1040" i="4"/>
  <c r="I1039" i="4"/>
  <c r="K1039" i="4"/>
  <c r="C1039" i="4"/>
  <c r="E1039" i="4"/>
  <c r="I1038" i="4"/>
  <c r="I1077" i="4"/>
  <c r="K1038" i="4"/>
  <c r="K1077" i="4"/>
  <c r="C1038" i="4"/>
  <c r="C1077" i="4"/>
  <c r="E1077" i="4"/>
  <c r="E1038" i="4"/>
  <c r="J1118" i="4"/>
  <c r="J1100" i="4"/>
  <c r="C1083" i="3"/>
  <c r="C1082" i="3"/>
  <c r="C1081" i="3"/>
  <c r="C1080" i="3"/>
  <c r="C1079" i="3"/>
  <c r="C1078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7" i="3"/>
  <c r="C1046" i="3"/>
  <c r="C1045" i="3"/>
  <c r="C1044" i="3"/>
  <c r="C1043" i="3"/>
  <c r="C1042" i="3"/>
  <c r="C1041" i="3"/>
  <c r="C1040" i="3"/>
  <c r="C1039" i="3"/>
  <c r="C1038" i="3"/>
  <c r="G1084" i="1"/>
  <c r="H1084" i="1"/>
  <c r="I1084" i="1"/>
  <c r="J1084" i="1"/>
  <c r="B1084" i="1"/>
  <c r="E1083" i="1"/>
  <c r="F1083" i="1"/>
  <c r="I1082" i="1"/>
  <c r="J1082" i="1"/>
  <c r="B1082" i="1"/>
  <c r="D1081" i="1"/>
  <c r="E1081" i="1"/>
  <c r="G1080" i="1"/>
  <c r="H1080" i="1"/>
  <c r="I1080" i="1"/>
  <c r="J1080" i="1"/>
  <c r="D1079" i="1"/>
  <c r="E1079" i="1"/>
  <c r="F1079" i="1"/>
  <c r="H1078" i="1"/>
  <c r="I1078" i="1"/>
  <c r="J1078" i="1"/>
  <c r="B1078" i="1"/>
  <c r="D1077" i="1"/>
  <c r="G1076" i="1"/>
  <c r="H1076" i="1"/>
  <c r="I1076" i="1"/>
  <c r="J1076" i="1"/>
  <c r="E1075" i="1"/>
  <c r="F1075" i="1"/>
  <c r="I1074" i="1"/>
  <c r="J1074" i="1"/>
  <c r="B1074" i="1"/>
  <c r="F1073" i="1"/>
  <c r="G1072" i="1"/>
  <c r="H1072" i="1"/>
  <c r="I1072" i="1"/>
  <c r="J1072" i="1"/>
  <c r="C1071" i="1"/>
  <c r="D1071" i="1"/>
  <c r="E1071" i="1"/>
  <c r="F1071" i="1"/>
  <c r="I1070" i="1"/>
  <c r="B1070" i="1"/>
  <c r="C1069" i="1"/>
  <c r="D1069" i="1"/>
  <c r="E1069" i="1"/>
  <c r="G1068" i="1"/>
  <c r="H1068" i="1"/>
  <c r="I1068" i="1"/>
  <c r="J1068" i="1"/>
  <c r="E1067" i="1"/>
  <c r="F1067" i="1"/>
  <c r="G1066" i="1"/>
  <c r="I1066" i="1"/>
  <c r="J1066" i="1"/>
  <c r="B1066" i="1"/>
  <c r="G1064" i="1"/>
  <c r="H1064" i="1"/>
  <c r="I1064" i="1"/>
  <c r="J1064" i="1"/>
  <c r="B1064" i="1"/>
  <c r="D1063" i="1"/>
  <c r="E1063" i="1"/>
  <c r="F1063" i="1"/>
  <c r="I1062" i="1"/>
  <c r="B1062" i="1"/>
  <c r="D1061" i="1"/>
  <c r="F1061" i="1"/>
  <c r="G1060" i="1"/>
  <c r="H1060" i="1"/>
  <c r="I1060" i="1"/>
  <c r="J1060" i="1"/>
  <c r="C1059" i="1"/>
  <c r="D1059" i="1"/>
  <c r="E1059" i="1"/>
  <c r="F1059" i="1"/>
  <c r="G1058" i="1"/>
  <c r="H1058" i="1"/>
  <c r="I1058" i="1"/>
  <c r="J1058" i="1"/>
  <c r="B1058" i="1"/>
  <c r="E1057" i="1"/>
  <c r="F1057" i="1"/>
  <c r="B1056" i="1"/>
  <c r="C1055" i="1"/>
  <c r="E1055" i="1"/>
  <c r="G1054" i="1"/>
  <c r="H1054" i="1"/>
  <c r="I1054" i="1"/>
  <c r="B1054" i="1"/>
  <c r="C1053" i="1"/>
  <c r="E1053" i="1"/>
  <c r="F1053" i="1"/>
  <c r="J1052" i="1"/>
  <c r="B1052" i="1"/>
  <c r="D1051" i="1"/>
  <c r="E1051" i="1"/>
  <c r="F1051" i="1"/>
  <c r="G1050" i="1"/>
  <c r="H1050" i="1"/>
  <c r="B1050" i="1"/>
  <c r="D1049" i="1"/>
  <c r="E1049" i="1"/>
  <c r="F1049" i="1"/>
  <c r="B1048" i="1"/>
  <c r="D1047" i="1"/>
  <c r="E1047" i="1"/>
  <c r="F1047" i="1"/>
  <c r="G1046" i="1"/>
  <c r="H1046" i="1"/>
  <c r="B1046" i="1"/>
  <c r="C1045" i="1"/>
  <c r="E1045" i="1"/>
  <c r="F1045" i="1"/>
  <c r="J1044" i="1"/>
  <c r="B1044" i="1"/>
  <c r="D1043" i="1"/>
  <c r="E1043" i="1"/>
  <c r="F1043" i="1"/>
  <c r="H1042" i="1"/>
  <c r="B1042" i="1"/>
  <c r="C1041" i="1"/>
  <c r="D1041" i="1"/>
  <c r="F1041" i="1"/>
  <c r="J1040" i="1"/>
  <c r="B1040" i="1"/>
  <c r="D1039" i="1"/>
  <c r="E1039" i="1"/>
  <c r="F1039" i="1"/>
  <c r="J1122" i="4"/>
  <c r="D1122" i="4"/>
  <c r="D1121" i="4"/>
  <c r="D1120" i="4"/>
  <c r="H1119" i="4"/>
  <c r="J1119" i="4"/>
  <c r="B1119" i="4"/>
  <c r="D1119" i="4"/>
  <c r="D1118" i="4"/>
  <c r="D1117" i="4"/>
  <c r="D1116" i="4"/>
  <c r="J1115" i="4"/>
  <c r="B1115" i="4"/>
  <c r="D1115" i="4"/>
  <c r="J1114" i="4"/>
  <c r="D1114" i="4"/>
  <c r="H1113" i="4"/>
  <c r="J1113" i="4"/>
  <c r="B1113" i="4"/>
  <c r="D1113" i="4"/>
  <c r="D1112" i="4"/>
  <c r="J1111" i="4"/>
  <c r="B1111" i="4"/>
  <c r="D1111" i="4"/>
  <c r="B1110" i="4"/>
  <c r="D1110" i="4"/>
  <c r="J1109" i="4"/>
  <c r="D1109" i="4"/>
  <c r="D1108" i="4"/>
  <c r="J1107" i="4"/>
  <c r="D1107" i="4"/>
  <c r="J1106" i="4"/>
  <c r="D1106" i="4"/>
  <c r="B1105" i="4"/>
  <c r="D1105" i="4"/>
  <c r="D1104" i="4"/>
  <c r="B1103" i="4"/>
  <c r="D1103" i="4"/>
  <c r="D1102" i="4"/>
  <c r="H1101" i="4"/>
  <c r="D1101" i="4"/>
  <c r="H1100" i="4"/>
  <c r="D1100" i="4"/>
  <c r="D1099" i="4"/>
  <c r="J1098" i="4"/>
  <c r="D1098" i="4"/>
  <c r="B1097" i="4"/>
  <c r="D1097" i="4"/>
  <c r="H1096" i="4"/>
  <c r="J1096" i="4"/>
  <c r="D1096" i="4"/>
  <c r="H1095" i="4"/>
  <c r="J1095" i="4"/>
  <c r="D1095" i="4"/>
  <c r="J1094" i="4"/>
  <c r="D1094" i="4"/>
  <c r="D1093" i="4"/>
  <c r="B1092" i="4"/>
  <c r="D1092" i="4"/>
  <c r="D1091" i="4"/>
  <c r="H1090" i="4"/>
  <c r="D1090" i="4"/>
  <c r="H1089" i="4"/>
  <c r="D1089" i="4"/>
  <c r="H1088" i="4"/>
  <c r="D1088" i="4"/>
  <c r="B1087" i="4"/>
  <c r="D1087" i="4"/>
  <c r="D1086" i="4"/>
  <c r="H1085" i="4"/>
  <c r="D1085" i="4"/>
  <c r="J1084" i="4"/>
  <c r="D1084" i="4"/>
  <c r="J1083" i="4"/>
  <c r="D1083" i="4"/>
  <c r="D1082" i="4"/>
  <c r="B1081" i="4"/>
  <c r="D1081" i="4"/>
  <c r="D1080" i="4"/>
  <c r="H1079" i="4"/>
  <c r="J1079" i="4"/>
  <c r="D1079" i="4"/>
  <c r="J1078" i="4"/>
  <c r="D1078" i="4"/>
  <c r="H1076" i="4"/>
  <c r="B1076" i="4"/>
  <c r="D1076" i="4"/>
  <c r="B1075" i="4"/>
  <c r="D1075" i="4"/>
  <c r="H1074" i="4"/>
  <c r="J1074" i="4"/>
  <c r="B1074" i="4"/>
  <c r="D1074" i="4"/>
  <c r="J1073" i="4"/>
  <c r="J1072" i="4"/>
  <c r="D1072" i="4"/>
  <c r="B1071" i="4"/>
  <c r="D1071" i="4"/>
  <c r="H1070" i="4"/>
  <c r="B1070" i="4"/>
  <c r="D1070" i="4"/>
  <c r="H1069" i="4"/>
  <c r="D1069" i="4"/>
  <c r="H1068" i="4"/>
  <c r="J1068" i="4"/>
  <c r="D1068" i="4"/>
  <c r="J1067" i="4"/>
  <c r="B1067" i="4"/>
  <c r="D1067" i="4"/>
  <c r="H1066" i="4"/>
  <c r="J1066" i="4"/>
  <c r="B1066" i="4"/>
  <c r="D1066" i="4"/>
  <c r="H1065" i="4"/>
  <c r="J1065" i="4"/>
  <c r="B1065" i="4"/>
  <c r="D1065" i="4"/>
  <c r="H1064" i="4"/>
  <c r="J1064" i="4"/>
  <c r="B1064" i="4"/>
  <c r="D1060" i="4"/>
  <c r="H1054" i="4"/>
  <c r="B1052" i="4"/>
  <c r="B1060" i="2"/>
  <c r="A1061" i="2"/>
  <c r="L1085" i="1"/>
  <c r="I1083" i="1"/>
  <c r="I1081" i="1"/>
  <c r="I1079" i="1"/>
  <c r="E1078" i="1"/>
  <c r="I1077" i="1"/>
  <c r="I1075" i="1"/>
  <c r="I1073" i="1"/>
  <c r="I1071" i="1"/>
  <c r="E1070" i="1"/>
  <c r="I1069" i="1"/>
  <c r="I1067" i="1"/>
  <c r="I1065" i="1"/>
  <c r="I1063" i="1"/>
  <c r="E1062" i="1"/>
  <c r="I1061" i="1"/>
  <c r="I1059" i="1"/>
  <c r="I1051" i="1"/>
  <c r="I1047" i="1"/>
  <c r="I1043" i="1"/>
  <c r="D1085" i="1"/>
  <c r="M1085" i="1"/>
  <c r="H1081" i="1"/>
  <c r="H1073" i="1"/>
  <c r="H1065" i="1"/>
  <c r="D1056" i="1"/>
  <c r="D1054" i="1"/>
  <c r="D1052" i="1"/>
  <c r="H1051" i="1"/>
  <c r="D1046" i="1"/>
  <c r="H1043" i="1"/>
  <c r="H1039" i="1"/>
  <c r="I1085" i="1"/>
  <c r="C1084" i="1"/>
  <c r="C1076" i="1"/>
  <c r="C1068" i="1"/>
  <c r="C1060" i="1"/>
  <c r="G1057" i="1"/>
  <c r="C1056" i="1"/>
  <c r="G1053" i="1"/>
  <c r="C1052" i="1"/>
  <c r="G1049" i="1"/>
  <c r="C1048" i="1"/>
  <c r="C1044" i="1"/>
  <c r="G1043" i="1"/>
  <c r="H1063" i="4"/>
  <c r="J1063" i="4"/>
  <c r="B1063" i="4"/>
  <c r="D1063" i="4"/>
  <c r="J1062" i="4"/>
  <c r="B1062" i="4"/>
  <c r="D1062" i="4"/>
  <c r="J1061" i="4"/>
  <c r="B1061" i="4"/>
  <c r="D1061" i="4"/>
  <c r="H1060" i="4"/>
  <c r="H1059" i="4"/>
  <c r="J1059" i="4"/>
  <c r="D1059" i="4"/>
  <c r="H1058" i="4"/>
  <c r="J1058" i="4"/>
  <c r="D1058" i="4"/>
  <c r="H1057" i="4"/>
  <c r="J1057" i="4"/>
  <c r="B1057" i="4"/>
  <c r="D1057" i="4"/>
  <c r="J1056" i="4"/>
  <c r="B1056" i="4"/>
  <c r="D1056" i="4"/>
  <c r="H1055" i="4"/>
  <c r="J1055" i="4"/>
  <c r="B1055" i="4"/>
  <c r="D1055" i="4"/>
  <c r="J1054" i="4"/>
  <c r="B1054" i="4"/>
  <c r="D1054" i="4"/>
  <c r="H1053" i="4"/>
  <c r="J1053" i="4"/>
  <c r="B1053" i="4"/>
  <c r="D1053" i="4"/>
  <c r="H1052" i="4"/>
  <c r="J1052" i="4"/>
  <c r="D1052" i="4"/>
  <c r="H1051" i="4"/>
  <c r="B1051" i="4"/>
  <c r="D1051" i="4"/>
  <c r="H1050" i="4"/>
  <c r="J1050" i="4"/>
  <c r="B1050" i="4"/>
  <c r="D1050" i="4"/>
  <c r="H1049" i="4"/>
  <c r="J1049" i="4"/>
  <c r="B1049" i="4"/>
  <c r="D1049" i="4"/>
  <c r="H1048" i="4"/>
  <c r="J1048" i="4"/>
  <c r="B1048" i="4"/>
  <c r="D1048" i="4"/>
  <c r="H1047" i="4"/>
  <c r="J1047" i="4"/>
  <c r="B1047" i="4"/>
  <c r="D1047" i="4"/>
  <c r="H1046" i="4"/>
  <c r="B1046" i="4"/>
  <c r="D1046" i="4"/>
  <c r="H1045" i="4"/>
  <c r="J1045" i="4"/>
  <c r="B1045" i="4"/>
  <c r="D1045" i="4"/>
  <c r="H1044" i="4"/>
  <c r="J1044" i="4"/>
  <c r="D1044" i="4"/>
  <c r="J1043" i="4"/>
  <c r="B1043" i="4"/>
  <c r="D1043" i="4"/>
  <c r="H1042" i="4"/>
  <c r="J1042" i="4"/>
  <c r="B1042" i="4"/>
  <c r="D1042" i="4"/>
  <c r="H1041" i="4"/>
  <c r="J1041" i="4"/>
  <c r="B1041" i="4"/>
  <c r="D1041" i="4"/>
  <c r="H1040" i="4"/>
  <c r="B1040" i="4"/>
  <c r="D1040" i="4"/>
  <c r="H1039" i="4"/>
  <c r="J1039" i="4"/>
  <c r="B1039" i="4"/>
  <c r="J1038" i="4"/>
  <c r="J1077" i="4"/>
  <c r="B1077" i="4"/>
  <c r="B1038" i="4"/>
  <c r="D1077" i="4"/>
  <c r="D1038" i="4"/>
  <c r="E1042" i="1"/>
  <c r="E1038" i="1"/>
  <c r="G1041" i="1"/>
  <c r="C1038" i="1"/>
  <c r="F1056" i="1"/>
  <c r="F1048" i="1"/>
  <c r="F1040" i="1"/>
  <c r="B1083" i="3"/>
  <c r="B1081" i="3"/>
  <c r="B1073" i="3"/>
  <c r="B1072" i="3"/>
  <c r="B1065" i="3"/>
  <c r="B1061" i="3"/>
  <c r="B1058" i="3"/>
  <c r="B1056" i="3"/>
  <c r="B1054" i="3"/>
  <c r="B1052" i="3"/>
  <c r="B1050" i="3"/>
  <c r="B1048" i="3"/>
  <c r="B1046" i="3"/>
  <c r="B1044" i="3"/>
  <c r="B1042" i="3"/>
  <c r="B1041" i="3"/>
  <c r="B1040" i="3"/>
  <c r="B1038" i="3"/>
  <c r="H1122" i="4"/>
  <c r="B1122" i="4"/>
  <c r="H1121" i="4"/>
  <c r="J1121" i="4"/>
  <c r="H1120" i="4"/>
  <c r="B1118" i="4"/>
  <c r="H1116" i="4"/>
  <c r="H1115" i="4"/>
  <c r="B1114" i="4"/>
  <c r="J1110" i="4"/>
  <c r="B1109" i="4"/>
  <c r="H1107" i="4"/>
  <c r="J1105" i="4"/>
  <c r="B1102" i="4"/>
  <c r="H1099" i="4"/>
  <c r="B1098" i="4"/>
  <c r="B1096" i="4"/>
  <c r="B1094" i="4"/>
  <c r="J1089" i="4"/>
  <c r="B1086" i="4"/>
  <c r="H1080" i="4"/>
  <c r="H1078" i="4"/>
  <c r="E1082" i="3"/>
  <c r="E1075" i="3"/>
  <c r="E1074" i="3"/>
  <c r="E1066" i="3"/>
  <c r="E1064" i="3"/>
  <c r="E1056" i="3"/>
  <c r="E1053" i="3"/>
  <c r="E1051" i="3"/>
  <c r="E1050" i="3"/>
  <c r="E1049" i="3"/>
  <c r="E1047" i="3"/>
  <c r="E1045" i="3"/>
  <c r="E1043" i="3"/>
  <c r="E1041" i="3"/>
  <c r="E1039" i="3"/>
  <c r="B1121" i="4"/>
  <c r="J1120" i="4"/>
  <c r="B1120" i="4"/>
  <c r="H1118" i="4"/>
  <c r="H1117" i="4"/>
  <c r="J1117" i="4"/>
  <c r="B1117" i="4"/>
  <c r="J1116" i="4"/>
  <c r="B1116" i="4"/>
  <c r="H1114" i="4"/>
  <c r="H1112" i="4"/>
  <c r="J1112" i="4"/>
  <c r="B1112" i="4"/>
  <c r="H1111" i="4"/>
  <c r="H1110" i="4"/>
  <c r="H1109" i="4"/>
  <c r="J1108" i="4"/>
  <c r="B1108" i="4"/>
  <c r="B1107" i="4"/>
  <c r="B1106" i="4"/>
  <c r="H1105" i="4"/>
  <c r="H1104" i="4"/>
  <c r="J1104" i="4"/>
  <c r="B1104" i="4"/>
  <c r="H1103" i="4"/>
  <c r="J1103" i="4"/>
  <c r="H1102" i="4"/>
  <c r="J1102" i="4"/>
  <c r="J1101" i="4"/>
  <c r="B1101" i="4"/>
  <c r="B1100" i="4"/>
  <c r="J1099" i="4"/>
  <c r="B1099" i="4"/>
  <c r="H1098" i="4"/>
  <c r="H1097" i="4"/>
  <c r="J1097" i="4"/>
  <c r="B1095" i="4"/>
  <c r="H1094" i="4"/>
  <c r="H1093" i="4"/>
  <c r="J1093" i="4"/>
  <c r="B1093" i="4"/>
  <c r="H1092" i="4"/>
  <c r="J1092" i="4"/>
  <c r="H1091" i="4"/>
  <c r="J1091" i="4"/>
  <c r="B1091" i="4"/>
  <c r="J1090" i="4"/>
  <c r="B1090" i="4"/>
  <c r="B1089" i="4"/>
  <c r="J1088" i="4"/>
  <c r="B1088" i="4"/>
  <c r="H1087" i="4"/>
  <c r="J1087" i="4"/>
  <c r="H1086" i="4"/>
  <c r="J1086" i="4"/>
  <c r="H1084" i="4"/>
  <c r="B1084" i="4"/>
  <c r="H1083" i="4"/>
  <c r="B1083" i="4"/>
  <c r="H1082" i="4"/>
  <c r="J1082" i="4"/>
  <c r="B1082" i="4"/>
  <c r="H1081" i="4"/>
  <c r="J1081" i="4"/>
  <c r="J1080" i="4"/>
  <c r="B1080" i="4"/>
  <c r="B1079" i="4"/>
  <c r="B1078" i="4"/>
  <c r="J1076" i="4"/>
  <c r="H1075" i="4"/>
  <c r="H1073" i="4"/>
  <c r="B1073" i="4"/>
  <c r="H1072" i="4"/>
  <c r="B1072" i="4"/>
  <c r="H1071" i="4"/>
  <c r="J1071" i="4"/>
  <c r="J1070" i="4"/>
  <c r="J1069" i="4"/>
  <c r="B1069" i="4"/>
  <c r="B1068" i="4"/>
  <c r="H1062" i="4"/>
  <c r="H1061" i="4"/>
  <c r="J1060" i="4"/>
  <c r="B1059" i="4"/>
  <c r="B1058" i="4"/>
  <c r="D1079" i="3"/>
  <c r="D1071" i="3"/>
  <c r="D1063" i="3"/>
  <c r="D1058" i="3"/>
  <c r="D1056" i="3"/>
  <c r="D1054" i="3"/>
  <c r="D1052" i="3"/>
  <c r="D1050" i="3"/>
  <c r="D1048" i="3"/>
  <c r="D1046" i="3"/>
  <c r="D1044" i="3"/>
  <c r="D1042" i="3"/>
  <c r="D1040" i="3"/>
  <c r="D1038" i="3"/>
  <c r="A1086" i="3" l="1"/>
  <c r="B1085" i="3"/>
  <c r="C1085" i="3"/>
  <c r="D1085" i="3"/>
  <c r="E1085" i="3"/>
  <c r="B1061" i="2"/>
  <c r="A1062" i="2"/>
  <c r="D1087" i="1"/>
  <c r="M1087" i="1"/>
  <c r="E1087" i="1"/>
  <c r="O1087" i="1"/>
  <c r="F1087" i="1"/>
  <c r="P1087" i="1"/>
  <c r="G1087" i="1"/>
  <c r="Q1087" i="1"/>
  <c r="H1087" i="1"/>
  <c r="I1087" i="1"/>
  <c r="L1087" i="1"/>
  <c r="N1087" i="1"/>
  <c r="A1088" i="1"/>
  <c r="B1087" i="1"/>
  <c r="C1087" i="1"/>
  <c r="J1087" i="1"/>
  <c r="D1088" i="1" l="1"/>
  <c r="M1088" i="1"/>
  <c r="G1088" i="1"/>
  <c r="Q1088" i="1"/>
  <c r="H1088" i="1"/>
  <c r="A1089" i="1"/>
  <c r="I1088" i="1"/>
  <c r="E1088" i="1"/>
  <c r="F1088" i="1"/>
  <c r="O1088" i="1"/>
  <c r="P1088" i="1"/>
  <c r="C1088" i="1"/>
  <c r="N1088" i="1"/>
  <c r="B1088" i="1"/>
  <c r="J1088" i="1"/>
  <c r="L1088" i="1"/>
  <c r="B1062" i="2"/>
  <c r="A1063" i="2"/>
  <c r="E1086" i="3"/>
  <c r="A1087" i="3"/>
  <c r="D1086" i="3"/>
  <c r="B1086" i="3"/>
  <c r="C1086" i="3"/>
  <c r="D1089" i="1" l="1"/>
  <c r="M1089" i="1"/>
  <c r="I1089" i="1"/>
  <c r="J1089" i="1"/>
  <c r="B1089" i="1"/>
  <c r="L1089" i="1"/>
  <c r="E1089" i="1"/>
  <c r="A1090" i="1"/>
  <c r="F1089" i="1"/>
  <c r="Q1089" i="1"/>
  <c r="C1089" i="1"/>
  <c r="H1089" i="1"/>
  <c r="N1089" i="1"/>
  <c r="O1089" i="1"/>
  <c r="P1089" i="1"/>
  <c r="G1089" i="1"/>
  <c r="B1063" i="2"/>
  <c r="A1064" i="2"/>
  <c r="D1087" i="3"/>
  <c r="B1087" i="3"/>
  <c r="C1087" i="3"/>
  <c r="E1087" i="3"/>
  <c r="A1088" i="3"/>
  <c r="D1088" i="3" l="1"/>
  <c r="A1089" i="3"/>
  <c r="B1088" i="3"/>
  <c r="C1088" i="3"/>
  <c r="E1088" i="3"/>
  <c r="D1090" i="1"/>
  <c r="M1090" i="1"/>
  <c r="B1090" i="1"/>
  <c r="L1090" i="1"/>
  <c r="C1090" i="1"/>
  <c r="N1090" i="1"/>
  <c r="E1090" i="1"/>
  <c r="O1090" i="1"/>
  <c r="A1091" i="1"/>
  <c r="F1090" i="1"/>
  <c r="G1090" i="1"/>
  <c r="H1090" i="1"/>
  <c r="J1090" i="1"/>
  <c r="I1090" i="1"/>
  <c r="P1090" i="1"/>
  <c r="Q1090" i="1"/>
  <c r="A1065" i="2"/>
  <c r="B1064" i="2"/>
  <c r="D1091" i="1" l="1"/>
  <c r="M1091" i="1"/>
  <c r="E1091" i="1"/>
  <c r="O1091" i="1"/>
  <c r="F1091" i="1"/>
  <c r="P1091" i="1"/>
  <c r="G1091" i="1"/>
  <c r="Q1091" i="1"/>
  <c r="A1092" i="1"/>
  <c r="B1091" i="1"/>
  <c r="H1091" i="1"/>
  <c r="I1091" i="1"/>
  <c r="J1091" i="1"/>
  <c r="N1091" i="1"/>
  <c r="C1091" i="1"/>
  <c r="L1091" i="1"/>
  <c r="A1066" i="2"/>
  <c r="B1065" i="2"/>
  <c r="B1089" i="3"/>
  <c r="C1089" i="3"/>
  <c r="D1089" i="3"/>
  <c r="E1089" i="3"/>
  <c r="A1090" i="3"/>
  <c r="E1090" i="3" l="1"/>
  <c r="C1090" i="3"/>
  <c r="B1090" i="3"/>
  <c r="D1090" i="3"/>
  <c r="A1091" i="3"/>
  <c r="B1066" i="2"/>
  <c r="A1067" i="2"/>
  <c r="D1092" i="1"/>
  <c r="M1092" i="1"/>
  <c r="G1092" i="1"/>
  <c r="Q1092" i="1"/>
  <c r="H1092" i="1"/>
  <c r="A1093" i="1"/>
  <c r="I1092" i="1"/>
  <c r="O1092" i="1"/>
  <c r="B1092" i="1"/>
  <c r="P1092" i="1"/>
  <c r="J1092" i="1"/>
  <c r="L1092" i="1"/>
  <c r="N1092" i="1"/>
  <c r="C1092" i="1"/>
  <c r="E1092" i="1"/>
  <c r="F1092" i="1"/>
  <c r="B1067" i="2" l="1"/>
  <c r="A1068" i="2"/>
  <c r="D1093" i="1"/>
  <c r="M1093" i="1"/>
  <c r="I1093" i="1"/>
  <c r="J1093" i="1"/>
  <c r="B1093" i="1"/>
  <c r="L1093" i="1"/>
  <c r="O1093" i="1"/>
  <c r="P1093" i="1"/>
  <c r="N1093" i="1"/>
  <c r="Q1093" i="1"/>
  <c r="A1094" i="1"/>
  <c r="E1093" i="1"/>
  <c r="C1093" i="1"/>
  <c r="H1093" i="1"/>
  <c r="F1093" i="1"/>
  <c r="G1093" i="1"/>
  <c r="B1091" i="3"/>
  <c r="C1091" i="3"/>
  <c r="D1091" i="3"/>
  <c r="E1091" i="3"/>
  <c r="A1092" i="3"/>
  <c r="C1092" i="3" l="1"/>
  <c r="B1092" i="3"/>
  <c r="A1093" i="3"/>
  <c r="D1092" i="3"/>
  <c r="E1092" i="3"/>
  <c r="D1094" i="1"/>
  <c r="M1094" i="1"/>
  <c r="B1094" i="1"/>
  <c r="L1094" i="1"/>
  <c r="N1094" i="1"/>
  <c r="C1094" i="1"/>
  <c r="E1094" i="1"/>
  <c r="O1094" i="1"/>
  <c r="J1094" i="1"/>
  <c r="P1094" i="1"/>
  <c r="A1095" i="1"/>
  <c r="G1094" i="1"/>
  <c r="H1094" i="1"/>
  <c r="I1094" i="1"/>
  <c r="Q1094" i="1"/>
  <c r="F1094" i="1"/>
  <c r="B1068" i="2"/>
  <c r="A1069" i="2"/>
  <c r="A1094" i="3" l="1"/>
  <c r="B1093" i="3"/>
  <c r="C1093" i="3"/>
  <c r="D1093" i="3"/>
  <c r="E1093" i="3"/>
  <c r="B1069" i="2"/>
  <c r="A1070" i="2"/>
  <c r="D1095" i="1"/>
  <c r="M1095" i="1"/>
  <c r="E1095" i="1"/>
  <c r="O1095" i="1"/>
  <c r="P1095" i="1"/>
  <c r="F1095" i="1"/>
  <c r="G1095" i="1"/>
  <c r="Q1095" i="1"/>
  <c r="J1095" i="1"/>
  <c r="L1095" i="1"/>
  <c r="B1095" i="1"/>
  <c r="C1095" i="1"/>
  <c r="I1095" i="1"/>
  <c r="H1095" i="1"/>
  <c r="N1095" i="1"/>
  <c r="A1096" i="1"/>
  <c r="B1070" i="2" l="1"/>
  <c r="A1071" i="2"/>
  <c r="D1096" i="1"/>
  <c r="M1096" i="1"/>
  <c r="G1096" i="1"/>
  <c r="Q1096" i="1"/>
  <c r="H1096" i="1"/>
  <c r="A1097" i="1"/>
  <c r="I1096" i="1"/>
  <c r="J1096" i="1"/>
  <c r="L1096" i="1"/>
  <c r="C1096" i="1"/>
  <c r="E1096" i="1"/>
  <c r="F1096" i="1"/>
  <c r="O1096" i="1"/>
  <c r="P1096" i="1"/>
  <c r="B1096" i="1"/>
  <c r="N1096" i="1"/>
  <c r="B1094" i="3"/>
  <c r="C1094" i="3"/>
  <c r="D1094" i="3"/>
  <c r="E1094" i="3"/>
  <c r="A1095" i="3"/>
  <c r="D1097" i="1" l="1"/>
  <c r="M1097" i="1"/>
  <c r="I1097" i="1"/>
  <c r="J1097" i="1"/>
  <c r="B1097" i="1"/>
  <c r="L1097" i="1"/>
  <c r="G1097" i="1"/>
  <c r="H1097" i="1"/>
  <c r="F1097" i="1"/>
  <c r="N1097" i="1"/>
  <c r="O1097" i="1"/>
  <c r="Q1097" i="1"/>
  <c r="E1097" i="1"/>
  <c r="C1097" i="1"/>
  <c r="P1097" i="1"/>
  <c r="A1098" i="1"/>
  <c r="D1095" i="3"/>
  <c r="A1096" i="3"/>
  <c r="B1095" i="3"/>
  <c r="C1095" i="3"/>
  <c r="E1095" i="3"/>
  <c r="B1071" i="2"/>
  <c r="A1072" i="2"/>
  <c r="A1073" i="2" l="1"/>
  <c r="B1072" i="2"/>
  <c r="E1096" i="3"/>
  <c r="A1097" i="3"/>
  <c r="C1096" i="3"/>
  <c r="D1096" i="3"/>
  <c r="B1096" i="3"/>
  <c r="D1098" i="1"/>
  <c r="M1098" i="1"/>
  <c r="B1098" i="1"/>
  <c r="L1098" i="1"/>
  <c r="N1098" i="1"/>
  <c r="C1098" i="1"/>
  <c r="E1098" i="1"/>
  <c r="O1098" i="1"/>
  <c r="G1098" i="1"/>
  <c r="H1098" i="1"/>
  <c r="J1098" i="1"/>
  <c r="P1098" i="1"/>
  <c r="Q1098" i="1"/>
  <c r="I1098" i="1"/>
  <c r="A1099" i="1"/>
  <c r="F1098" i="1"/>
  <c r="B1097" i="3" l="1"/>
  <c r="E1097" i="3"/>
  <c r="C1097" i="3"/>
  <c r="D1097" i="3"/>
  <c r="A1098" i="3"/>
  <c r="D1099" i="1"/>
  <c r="M1099" i="1"/>
  <c r="E1099" i="1"/>
  <c r="O1099" i="1"/>
  <c r="P1099" i="1"/>
  <c r="F1099" i="1"/>
  <c r="G1099" i="1"/>
  <c r="Q1099" i="1"/>
  <c r="C1099" i="1"/>
  <c r="H1099" i="1"/>
  <c r="N1099" i="1"/>
  <c r="A1100" i="1"/>
  <c r="B1099" i="1"/>
  <c r="I1099" i="1"/>
  <c r="J1099" i="1"/>
  <c r="L1099" i="1"/>
  <c r="A1074" i="2"/>
  <c r="B1073" i="2"/>
  <c r="B1074" i="2" l="1"/>
  <c r="A1075" i="2"/>
  <c r="E1098" i="3"/>
  <c r="B1098" i="3"/>
  <c r="C1098" i="3"/>
  <c r="D1098" i="3"/>
  <c r="A1099" i="3"/>
  <c r="D1100" i="1"/>
  <c r="M1100" i="1"/>
  <c r="G1100" i="1"/>
  <c r="Q1100" i="1"/>
  <c r="A1101" i="1"/>
  <c r="H1100" i="1"/>
  <c r="I1100" i="1"/>
  <c r="C1100" i="1"/>
  <c r="E1100" i="1"/>
  <c r="P1100" i="1"/>
  <c r="B1100" i="1"/>
  <c r="J1100" i="1"/>
  <c r="F1100" i="1"/>
  <c r="O1100" i="1"/>
  <c r="L1100" i="1"/>
  <c r="N1100" i="1"/>
  <c r="D1099" i="3" l="1"/>
  <c r="C1099" i="3"/>
  <c r="E1099" i="3"/>
  <c r="A1100" i="3"/>
  <c r="B1099" i="3"/>
  <c r="D1101" i="1"/>
  <c r="M1101" i="1"/>
  <c r="I1101" i="1"/>
  <c r="J1101" i="1"/>
  <c r="B1101" i="1"/>
  <c r="L1101" i="1"/>
  <c r="C1101" i="1"/>
  <c r="Q1101" i="1"/>
  <c r="A1102" i="1"/>
  <c r="E1101" i="1"/>
  <c r="F1101" i="1"/>
  <c r="G1101" i="1"/>
  <c r="N1101" i="1"/>
  <c r="O1101" i="1"/>
  <c r="P1101" i="1"/>
  <c r="H1101" i="1"/>
  <c r="B1075" i="2"/>
  <c r="A1076" i="2"/>
  <c r="C1100" i="3" l="1"/>
  <c r="D1100" i="3"/>
  <c r="E1100" i="3"/>
  <c r="A1101" i="3"/>
  <c r="B1100" i="3"/>
  <c r="D1102" i="1"/>
  <c r="M1102" i="1"/>
  <c r="B1102" i="1"/>
  <c r="L1102" i="1"/>
  <c r="C1102" i="1"/>
  <c r="N1102" i="1"/>
  <c r="E1102" i="1"/>
  <c r="O1102" i="1"/>
  <c r="Q1102" i="1"/>
  <c r="A1103" i="1"/>
  <c r="G1102" i="1"/>
  <c r="H1102" i="1"/>
  <c r="I1102" i="1"/>
  <c r="P1102" i="1"/>
  <c r="F1102" i="1"/>
  <c r="J1102" i="1"/>
  <c r="A1077" i="2"/>
  <c r="B1076" i="2"/>
  <c r="D1103" i="1" l="1"/>
  <c r="M1103" i="1"/>
  <c r="E1103" i="1"/>
  <c r="O1103" i="1"/>
  <c r="F1103" i="1"/>
  <c r="P1103" i="1"/>
  <c r="G1103" i="1"/>
  <c r="Q1103" i="1"/>
  <c r="N1103" i="1"/>
  <c r="A1104" i="1"/>
  <c r="I1103" i="1"/>
  <c r="J1103" i="1"/>
  <c r="L1103" i="1"/>
  <c r="B1103" i="1"/>
  <c r="C1103" i="1"/>
  <c r="H1103" i="1"/>
  <c r="A1102" i="3"/>
  <c r="C1101" i="3"/>
  <c r="D1101" i="3"/>
  <c r="E1101" i="3"/>
  <c r="B1101" i="3"/>
  <c r="A1078" i="2"/>
  <c r="B1077" i="2"/>
  <c r="B1078" i="2" l="1"/>
  <c r="A1079" i="2"/>
  <c r="D1104" i="1"/>
  <c r="M1104" i="1"/>
  <c r="G1104" i="1"/>
  <c r="Q1104" i="1"/>
  <c r="A1105" i="1"/>
  <c r="H1104" i="1"/>
  <c r="I1104" i="1"/>
  <c r="N1104" i="1"/>
  <c r="O1104" i="1"/>
  <c r="L1104" i="1"/>
  <c r="P1104" i="1"/>
  <c r="C1104" i="1"/>
  <c r="E1104" i="1"/>
  <c r="F1104" i="1"/>
  <c r="J1104" i="1"/>
  <c r="B1104" i="1"/>
  <c r="B1102" i="3"/>
  <c r="E1102" i="3"/>
  <c r="D1102" i="3"/>
  <c r="A1103" i="3"/>
  <c r="C1102" i="3"/>
  <c r="D1105" i="1" l="1"/>
  <c r="M1105" i="1"/>
  <c r="I1105" i="1"/>
  <c r="J1105" i="1"/>
  <c r="B1105" i="1"/>
  <c r="L1105" i="1"/>
  <c r="N1105" i="1"/>
  <c r="O1105" i="1"/>
  <c r="Q1105" i="1"/>
  <c r="A1106" i="1"/>
  <c r="C1105" i="1"/>
  <c r="F1105" i="1"/>
  <c r="E1105" i="1"/>
  <c r="P1105" i="1"/>
  <c r="G1105" i="1"/>
  <c r="H1105" i="1"/>
  <c r="D1103" i="3"/>
  <c r="B1103" i="3"/>
  <c r="E1103" i="3"/>
  <c r="A1104" i="3"/>
  <c r="C1103" i="3"/>
  <c r="B1079" i="2"/>
  <c r="A1080" i="2"/>
  <c r="A1105" i="3" l="1"/>
  <c r="B1104" i="3"/>
  <c r="C1104" i="3"/>
  <c r="D1104" i="3"/>
  <c r="E1104" i="3"/>
  <c r="A1081" i="2"/>
  <c r="B1080" i="2"/>
  <c r="D1106" i="1"/>
  <c r="M1106" i="1"/>
  <c r="B1106" i="1"/>
  <c r="L1106" i="1"/>
  <c r="C1106" i="1"/>
  <c r="N1106" i="1"/>
  <c r="E1106" i="1"/>
  <c r="O1106" i="1"/>
  <c r="I1106" i="1"/>
  <c r="J1106" i="1"/>
  <c r="F1106" i="1"/>
  <c r="H1106" i="1"/>
  <c r="P1106" i="1"/>
  <c r="A1107" i="1"/>
  <c r="Q1106" i="1"/>
  <c r="G1106" i="1"/>
  <c r="B1081" i="2" l="1"/>
  <c r="A1082" i="2"/>
  <c r="D1107" i="1"/>
  <c r="M1107" i="1"/>
  <c r="E1107" i="1"/>
  <c r="O1107" i="1"/>
  <c r="F1107" i="1"/>
  <c r="P1107" i="1"/>
  <c r="G1107" i="1"/>
  <c r="Q1107" i="1"/>
  <c r="I1107" i="1"/>
  <c r="J1107" i="1"/>
  <c r="B1107" i="1"/>
  <c r="C1107" i="1"/>
  <c r="H1107" i="1"/>
  <c r="N1107" i="1"/>
  <c r="L1107" i="1"/>
  <c r="A1108" i="1"/>
  <c r="B1105" i="3"/>
  <c r="E1105" i="3"/>
  <c r="A1106" i="3"/>
  <c r="C1105" i="3"/>
  <c r="D1105" i="3"/>
  <c r="D1108" i="1" l="1"/>
  <c r="M1108" i="1"/>
  <c r="G1108" i="1"/>
  <c r="Q1108" i="1"/>
  <c r="H1108" i="1"/>
  <c r="A1109" i="1"/>
  <c r="I1108" i="1"/>
  <c r="F1108" i="1"/>
  <c r="J1108" i="1"/>
  <c r="E1108" i="1"/>
  <c r="L1108" i="1"/>
  <c r="N1108" i="1"/>
  <c r="P1108" i="1"/>
  <c r="O1108" i="1"/>
  <c r="C1108" i="1"/>
  <c r="B1108" i="1"/>
  <c r="B1082" i="2"/>
  <c r="A1083" i="2"/>
  <c r="E1106" i="3"/>
  <c r="A1107" i="3"/>
  <c r="B1106" i="3"/>
  <c r="C1106" i="3"/>
  <c r="D1106" i="3"/>
  <c r="E1107" i="3" l="1"/>
  <c r="A1108" i="3"/>
  <c r="B1107" i="3"/>
  <c r="C1107" i="3"/>
  <c r="D1107" i="3"/>
  <c r="D1109" i="1"/>
  <c r="M1109" i="1"/>
  <c r="I1109" i="1"/>
  <c r="J1109" i="1"/>
  <c r="B1109" i="1"/>
  <c r="L1109" i="1"/>
  <c r="F1109" i="1"/>
  <c r="G1109" i="1"/>
  <c r="N1109" i="1"/>
  <c r="O1109" i="1"/>
  <c r="P1109" i="1"/>
  <c r="A1110" i="1"/>
  <c r="C1109" i="1"/>
  <c r="Q1109" i="1"/>
  <c r="E1109" i="1"/>
  <c r="H1109" i="1"/>
  <c r="B1083" i="2"/>
  <c r="A1084" i="2"/>
  <c r="F1084" i="2" l="1"/>
  <c r="G1084" i="2"/>
  <c r="H1084" i="2"/>
  <c r="D1084" i="2"/>
  <c r="I1084" i="2"/>
  <c r="J1084" i="2"/>
  <c r="B1084" i="2"/>
  <c r="A1085" i="2"/>
  <c r="C1084" i="2"/>
  <c r="E1084" i="2"/>
  <c r="C1108" i="3"/>
  <c r="E1108" i="3"/>
  <c r="B1108" i="3"/>
  <c r="D1108" i="3"/>
  <c r="A1109" i="3"/>
  <c r="B1110" i="1"/>
  <c r="J1110" i="1"/>
  <c r="C1110" i="1"/>
  <c r="L1110" i="1"/>
  <c r="D1110" i="1"/>
  <c r="M1110" i="1"/>
  <c r="E1110" i="1"/>
  <c r="Q1110" i="1"/>
  <c r="F1110" i="1"/>
  <c r="A1111" i="1"/>
  <c r="N1110" i="1"/>
  <c r="O1110" i="1"/>
  <c r="P1110" i="1"/>
  <c r="I1110" i="1"/>
  <c r="G1110" i="1"/>
  <c r="H1110" i="1"/>
  <c r="D1085" i="2" l="1"/>
  <c r="E1085" i="2"/>
  <c r="F1085" i="2"/>
  <c r="H1085" i="2"/>
  <c r="J1085" i="2"/>
  <c r="A1086" i="2"/>
  <c r="B1085" i="2"/>
  <c r="G1085" i="2"/>
  <c r="I1085" i="2"/>
  <c r="C1085" i="2"/>
  <c r="A1110" i="3"/>
  <c r="E1109" i="3"/>
  <c r="C1109" i="3"/>
  <c r="B1109" i="3"/>
  <c r="D1109" i="3"/>
  <c r="B1111" i="1"/>
  <c r="J1111" i="1"/>
  <c r="C1111" i="1"/>
  <c r="L1111" i="1"/>
  <c r="D1111" i="1"/>
  <c r="M1111" i="1"/>
  <c r="O1111" i="1"/>
  <c r="P1111" i="1"/>
  <c r="N1111" i="1"/>
  <c r="Q1111" i="1"/>
  <c r="A1112" i="1"/>
  <c r="F1111" i="1"/>
  <c r="G1111" i="1"/>
  <c r="I1111" i="1"/>
  <c r="H1111" i="1"/>
  <c r="E1111" i="1"/>
  <c r="D1110" i="3" l="1"/>
  <c r="B1110" i="3"/>
  <c r="C1110" i="3"/>
  <c r="E1110" i="3"/>
  <c r="A1111" i="3"/>
  <c r="B1086" i="2"/>
  <c r="J1086" i="2"/>
  <c r="C1086" i="2"/>
  <c r="A1087" i="2"/>
  <c r="D1086" i="2"/>
  <c r="I1086" i="2"/>
  <c r="E1086" i="2"/>
  <c r="F1086" i="2"/>
  <c r="G1086" i="2"/>
  <c r="H1086" i="2"/>
  <c r="B1112" i="1"/>
  <c r="J1112" i="1"/>
  <c r="L1112" i="1"/>
  <c r="C1112" i="1"/>
  <c r="D1112" i="1"/>
  <c r="M1112" i="1"/>
  <c r="I1112" i="1"/>
  <c r="N1112" i="1"/>
  <c r="P1112" i="1"/>
  <c r="Q1112" i="1"/>
  <c r="A1113" i="1"/>
  <c r="F1112" i="1"/>
  <c r="E1112" i="1"/>
  <c r="O1112" i="1"/>
  <c r="G1112" i="1"/>
  <c r="H1112" i="1"/>
  <c r="D1111" i="3" l="1"/>
  <c r="A1112" i="3"/>
  <c r="B1111" i="3"/>
  <c r="C1111" i="3"/>
  <c r="E1111" i="3"/>
  <c r="B1113" i="1"/>
  <c r="J1113" i="1"/>
  <c r="L1113" i="1"/>
  <c r="C1113" i="1"/>
  <c r="D1113" i="1"/>
  <c r="M1113" i="1"/>
  <c r="G1113" i="1"/>
  <c r="H1113" i="1"/>
  <c r="P1113" i="1"/>
  <c r="Q1113" i="1"/>
  <c r="A1114" i="1"/>
  <c r="F1113" i="1"/>
  <c r="I1113" i="1"/>
  <c r="N1113" i="1"/>
  <c r="O1113" i="1"/>
  <c r="E1113" i="1"/>
  <c r="H1087" i="2"/>
  <c r="I1087" i="2"/>
  <c r="B1087" i="2"/>
  <c r="J1087" i="2"/>
  <c r="D1087" i="2"/>
  <c r="E1087" i="2"/>
  <c r="C1087" i="2"/>
  <c r="G1087" i="2"/>
  <c r="F1087" i="2"/>
  <c r="A1088" i="2"/>
  <c r="F1088" i="2" l="1"/>
  <c r="G1088" i="2"/>
  <c r="H1088" i="2"/>
  <c r="C1088" i="2"/>
  <c r="E1088" i="2"/>
  <c r="I1088" i="2"/>
  <c r="J1088" i="2"/>
  <c r="A1089" i="2"/>
  <c r="B1088" i="2"/>
  <c r="D1088" i="2"/>
  <c r="C1112" i="3"/>
  <c r="B1112" i="3"/>
  <c r="D1112" i="3"/>
  <c r="E1112" i="3"/>
  <c r="A1113" i="3"/>
  <c r="B1114" i="1"/>
  <c r="J1114" i="1"/>
  <c r="C1114" i="1"/>
  <c r="L1114" i="1"/>
  <c r="D1114" i="1"/>
  <c r="M1114" i="1"/>
  <c r="E1114" i="1"/>
  <c r="Q1114" i="1"/>
  <c r="F1114" i="1"/>
  <c r="A1115" i="1"/>
  <c r="P1114" i="1"/>
  <c r="H1114" i="1"/>
  <c r="G1114" i="1"/>
  <c r="O1114" i="1"/>
  <c r="I1114" i="1"/>
  <c r="N1114" i="1"/>
  <c r="B1115" i="1" l="1"/>
  <c r="J1115" i="1"/>
  <c r="C1115" i="1"/>
  <c r="L1115" i="1"/>
  <c r="D1115" i="1"/>
  <c r="M1115" i="1"/>
  <c r="O1115" i="1"/>
  <c r="P1115" i="1"/>
  <c r="A1116" i="1"/>
  <c r="E1115" i="1"/>
  <c r="F1115" i="1"/>
  <c r="H1115" i="1"/>
  <c r="I1115" i="1"/>
  <c r="G1115" i="1"/>
  <c r="N1115" i="1"/>
  <c r="Q1115" i="1"/>
  <c r="D1089" i="2"/>
  <c r="E1089" i="2"/>
  <c r="F1089" i="2"/>
  <c r="G1089" i="2"/>
  <c r="I1089" i="2"/>
  <c r="J1089" i="2"/>
  <c r="B1089" i="2"/>
  <c r="H1089" i="2"/>
  <c r="C1089" i="2"/>
  <c r="A1090" i="2"/>
  <c r="B1113" i="3"/>
  <c r="A1114" i="3"/>
  <c r="D1113" i="3"/>
  <c r="E1113" i="3"/>
  <c r="C1113" i="3"/>
  <c r="E1114" i="3" l="1"/>
  <c r="B1114" i="3"/>
  <c r="C1114" i="3"/>
  <c r="D1114" i="3"/>
  <c r="A1115" i="3"/>
  <c r="B1090" i="2"/>
  <c r="J1090" i="2"/>
  <c r="C1090" i="2"/>
  <c r="A1091" i="2"/>
  <c r="D1090" i="2"/>
  <c r="H1090" i="2"/>
  <c r="I1090" i="2"/>
  <c r="E1090" i="2"/>
  <c r="F1090" i="2"/>
  <c r="G1090" i="2"/>
  <c r="B1116" i="1"/>
  <c r="J1116" i="1"/>
  <c r="L1116" i="1"/>
  <c r="C1116" i="1"/>
  <c r="D1116" i="1"/>
  <c r="M1116" i="1"/>
  <c r="I1116" i="1"/>
  <c r="N1116" i="1"/>
  <c r="A1117" i="1"/>
  <c r="E1116" i="1"/>
  <c r="F1116" i="1"/>
  <c r="H1116" i="1"/>
  <c r="G1116" i="1"/>
  <c r="O1116" i="1"/>
  <c r="P1116" i="1"/>
  <c r="Q1116" i="1"/>
  <c r="A1116" i="3" l="1"/>
  <c r="B1115" i="3"/>
  <c r="E1115" i="3"/>
  <c r="C1115" i="3"/>
  <c r="D1115" i="3"/>
  <c r="B1117" i="1"/>
  <c r="J1117" i="1"/>
  <c r="L1117" i="1"/>
  <c r="C1117" i="1"/>
  <c r="D1117" i="1"/>
  <c r="M1117" i="1"/>
  <c r="G1117" i="1"/>
  <c r="H1117" i="1"/>
  <c r="A1118" i="1"/>
  <c r="E1117" i="1"/>
  <c r="F1117" i="1"/>
  <c r="N1117" i="1"/>
  <c r="O1117" i="1"/>
  <c r="Q1117" i="1"/>
  <c r="P1117" i="1"/>
  <c r="I1117" i="1"/>
  <c r="H1091" i="2"/>
  <c r="I1091" i="2"/>
  <c r="B1091" i="2"/>
  <c r="J1091" i="2"/>
  <c r="C1091" i="2"/>
  <c r="D1091" i="2"/>
  <c r="E1091" i="2"/>
  <c r="G1091" i="2"/>
  <c r="F1091" i="2"/>
  <c r="A1092" i="2"/>
  <c r="F1092" i="2" l="1"/>
  <c r="G1092" i="2"/>
  <c r="H1092" i="2"/>
  <c r="B1092" i="2"/>
  <c r="D1092" i="2"/>
  <c r="E1092" i="2"/>
  <c r="C1092" i="2"/>
  <c r="I1092" i="2"/>
  <c r="A1093" i="2"/>
  <c r="J1092" i="2"/>
  <c r="B1118" i="1"/>
  <c r="J1118" i="1"/>
  <c r="C1118" i="1"/>
  <c r="L1118" i="1"/>
  <c r="D1118" i="1"/>
  <c r="M1118" i="1"/>
  <c r="E1118" i="1"/>
  <c r="Q1118" i="1"/>
  <c r="F1118" i="1"/>
  <c r="A1119" i="1"/>
  <c r="G1118" i="1"/>
  <c r="H1118" i="1"/>
  <c r="N1118" i="1"/>
  <c r="I1118" i="1"/>
  <c r="O1118" i="1"/>
  <c r="P1118" i="1"/>
  <c r="C1116" i="3"/>
  <c r="B1116" i="3"/>
  <c r="D1116" i="3"/>
  <c r="E1116" i="3"/>
  <c r="A1117" i="3"/>
  <c r="B1119" i="1" l="1"/>
  <c r="J1119" i="1"/>
  <c r="C1119" i="1"/>
  <c r="L1119" i="1"/>
  <c r="D1119" i="1"/>
  <c r="M1119" i="1"/>
  <c r="O1119" i="1"/>
  <c r="P1119" i="1"/>
  <c r="F1119" i="1"/>
  <c r="G1119" i="1"/>
  <c r="H1119" i="1"/>
  <c r="N1119" i="1"/>
  <c r="Q1119" i="1"/>
  <c r="A1120" i="1"/>
  <c r="E1119" i="1"/>
  <c r="I1119" i="1"/>
  <c r="A1118" i="3"/>
  <c r="E1117" i="3"/>
  <c r="B1117" i="3"/>
  <c r="C1117" i="3"/>
  <c r="D1117" i="3"/>
  <c r="D1093" i="2"/>
  <c r="E1093" i="2"/>
  <c r="F1093" i="2"/>
  <c r="C1093" i="2"/>
  <c r="H1093" i="2"/>
  <c r="I1093" i="2"/>
  <c r="B1093" i="2"/>
  <c r="J1093" i="2"/>
  <c r="G1093" i="2"/>
  <c r="A1094" i="2"/>
  <c r="B1094" i="2" l="1"/>
  <c r="J1094" i="2"/>
  <c r="C1094" i="2"/>
  <c r="A1095" i="2"/>
  <c r="D1094" i="2"/>
  <c r="G1094" i="2"/>
  <c r="I1094" i="2"/>
  <c r="E1094" i="2"/>
  <c r="F1094" i="2"/>
  <c r="H1094" i="2"/>
  <c r="B1120" i="1"/>
  <c r="J1120" i="1"/>
  <c r="C1120" i="1"/>
  <c r="L1120" i="1"/>
  <c r="D1120" i="1"/>
  <c r="M1120" i="1"/>
  <c r="I1120" i="1"/>
  <c r="N1120" i="1"/>
  <c r="F1120" i="1"/>
  <c r="G1120" i="1"/>
  <c r="H1120" i="1"/>
  <c r="P1120" i="1"/>
  <c r="E1120" i="1"/>
  <c r="O1120" i="1"/>
  <c r="Q1120" i="1"/>
  <c r="A1121" i="1"/>
  <c r="C1118" i="3"/>
  <c r="D1118" i="3"/>
  <c r="E1118" i="3"/>
  <c r="B1118" i="3"/>
  <c r="A1119" i="3"/>
  <c r="D1119" i="3" l="1"/>
  <c r="E1119" i="3"/>
  <c r="A1120" i="3"/>
  <c r="B1119" i="3"/>
  <c r="C1119" i="3"/>
  <c r="B1121" i="1"/>
  <c r="J1121" i="1"/>
  <c r="C1121" i="1"/>
  <c r="L1121" i="1"/>
  <c r="D1121" i="1"/>
  <c r="M1121" i="1"/>
  <c r="G1121" i="1"/>
  <c r="H1121" i="1"/>
  <c r="F1121" i="1"/>
  <c r="I1121" i="1"/>
  <c r="N1121" i="1"/>
  <c r="P1121" i="1"/>
  <c r="Q1121" i="1"/>
  <c r="E1121" i="1"/>
  <c r="O1121" i="1"/>
  <c r="A1122" i="1"/>
  <c r="H1095" i="2"/>
  <c r="I1095" i="2"/>
  <c r="B1095" i="2"/>
  <c r="J1095" i="2"/>
  <c r="A1096" i="2"/>
  <c r="C1095" i="2"/>
  <c r="E1095" i="2"/>
  <c r="G1095" i="2"/>
  <c r="D1095" i="2"/>
  <c r="F1095" i="2"/>
  <c r="C1120" i="3" l="1"/>
  <c r="D1120" i="3"/>
  <c r="E1120" i="3"/>
  <c r="B1120" i="3"/>
  <c r="A1121" i="3"/>
  <c r="B1122" i="1"/>
  <c r="J1122" i="1"/>
  <c r="C1122" i="1"/>
  <c r="L1122" i="1"/>
  <c r="D1122" i="1"/>
  <c r="M1122" i="1"/>
  <c r="E1122" i="1"/>
  <c r="Q1122" i="1"/>
  <c r="F1122" i="1"/>
  <c r="H1122" i="1"/>
  <c r="I1122" i="1"/>
  <c r="N1122" i="1"/>
  <c r="P1122" i="1"/>
  <c r="O1122" i="1"/>
  <c r="G1122" i="1"/>
  <c r="F1096" i="2"/>
  <c r="G1096" i="2"/>
  <c r="H1096" i="2"/>
  <c r="C1096" i="2"/>
  <c r="D1096" i="2"/>
  <c r="J1096" i="2"/>
  <c r="A1097" i="2"/>
  <c r="B1096" i="2"/>
  <c r="E1096" i="2"/>
  <c r="I1096" i="2"/>
  <c r="B1121" i="3" l="1"/>
  <c r="D1121" i="3"/>
  <c r="C1121" i="3"/>
  <c r="E1121" i="3"/>
  <c r="A1122" i="3"/>
  <c r="D1097" i="2"/>
  <c r="E1097" i="2"/>
  <c r="F1097" i="2"/>
  <c r="B1097" i="2"/>
  <c r="G1097" i="2"/>
  <c r="H1097" i="2"/>
  <c r="C1097" i="2"/>
  <c r="J1097" i="2"/>
  <c r="I1097" i="2"/>
  <c r="A1098" i="2"/>
  <c r="B1098" i="2" l="1"/>
  <c r="J1098" i="2"/>
  <c r="C1098" i="2"/>
  <c r="A1099" i="2"/>
  <c r="D1098" i="2"/>
  <c r="F1098" i="2"/>
  <c r="H1098" i="2"/>
  <c r="I1098" i="2"/>
  <c r="E1098" i="2"/>
  <c r="G1098" i="2"/>
  <c r="E1122" i="3"/>
  <c r="C1122" i="3"/>
  <c r="D1122" i="3"/>
  <c r="B1122" i="3"/>
  <c r="H1099" i="2" l="1"/>
  <c r="I1099" i="2"/>
  <c r="B1099" i="2"/>
  <c r="J1099" i="2"/>
  <c r="G1099" i="2"/>
  <c r="E1099" i="2"/>
  <c r="A1100" i="2"/>
  <c r="F1099" i="2"/>
  <c r="D1099" i="2"/>
  <c r="C1099" i="2"/>
  <c r="F1100" i="2" l="1"/>
  <c r="G1100" i="2"/>
  <c r="H1100" i="2"/>
  <c r="A1101" i="2"/>
  <c r="B1100" i="2"/>
  <c r="C1100" i="2"/>
  <c r="D1100" i="2"/>
  <c r="E1100" i="2"/>
  <c r="I1100" i="2"/>
  <c r="J1100" i="2"/>
  <c r="D1101" i="2" l="1"/>
  <c r="E1101" i="2"/>
  <c r="F1101" i="2"/>
  <c r="C1101" i="2"/>
  <c r="G1101" i="2"/>
  <c r="H1101" i="2"/>
  <c r="J1101" i="2"/>
  <c r="A1102" i="2"/>
  <c r="B1101" i="2"/>
  <c r="I1101" i="2"/>
  <c r="B1102" i="2" l="1"/>
  <c r="J1102" i="2"/>
  <c r="C1102" i="2"/>
  <c r="A1103" i="2"/>
  <c r="D1102" i="2"/>
  <c r="E1102" i="2"/>
  <c r="G1102" i="2"/>
  <c r="H1102" i="2"/>
  <c r="F1102" i="2"/>
  <c r="I1102" i="2"/>
  <c r="H1103" i="2" l="1"/>
  <c r="I1103" i="2"/>
  <c r="B1103" i="2"/>
  <c r="J1103" i="2"/>
  <c r="F1103" i="2"/>
  <c r="A1104" i="2"/>
  <c r="E1103" i="2"/>
  <c r="C1103" i="2"/>
  <c r="G1103" i="2"/>
  <c r="D1103" i="2"/>
  <c r="F1104" i="2" l="1"/>
  <c r="G1104" i="2"/>
  <c r="H1104" i="2"/>
  <c r="J1104" i="2"/>
  <c r="B1104" i="2"/>
  <c r="C1104" i="2"/>
  <c r="A1105" i="2"/>
  <c r="E1104" i="2"/>
  <c r="I1104" i="2"/>
  <c r="D1104" i="2"/>
  <c r="D1105" i="2" l="1"/>
  <c r="E1105" i="2"/>
  <c r="F1105" i="2"/>
  <c r="A1106" i="2"/>
  <c r="B1105" i="2"/>
  <c r="C1105" i="2"/>
  <c r="H1105" i="2"/>
  <c r="J1105" i="2"/>
  <c r="G1105" i="2"/>
  <c r="I1105" i="2"/>
  <c r="B1106" i="2" l="1"/>
  <c r="J1106" i="2"/>
  <c r="C1106" i="2"/>
  <c r="A1107" i="2"/>
  <c r="D1106" i="2"/>
  <c r="F1106" i="2"/>
  <c r="G1106" i="2"/>
  <c r="I1106" i="2"/>
  <c r="E1106" i="2"/>
  <c r="H1106" i="2"/>
  <c r="H1107" i="2" l="1"/>
  <c r="I1107" i="2"/>
  <c r="B1107" i="2"/>
  <c r="J1107" i="2"/>
  <c r="E1107" i="2"/>
  <c r="G1107" i="2"/>
  <c r="A1108" i="2"/>
  <c r="F1107" i="2"/>
  <c r="C1107" i="2"/>
  <c r="D1107" i="2"/>
  <c r="F1108" i="2" l="1"/>
  <c r="G1108" i="2"/>
  <c r="H1108" i="2"/>
  <c r="I1108" i="2"/>
  <c r="A1109" i="2"/>
  <c r="C1108" i="2"/>
  <c r="B1108" i="2"/>
  <c r="D1108" i="2"/>
  <c r="E1108" i="2"/>
  <c r="J1108" i="2"/>
  <c r="D1109" i="2" l="1"/>
  <c r="E1109" i="2"/>
  <c r="F1109" i="2"/>
  <c r="J1109" i="2"/>
  <c r="B1109" i="2"/>
  <c r="H1109" i="2"/>
  <c r="A1110" i="2"/>
  <c r="C1109" i="2"/>
  <c r="G1109" i="2"/>
  <c r="I1109" i="2"/>
  <c r="B1110" i="2" l="1"/>
  <c r="J1110" i="2"/>
  <c r="C1110" i="2"/>
  <c r="A1111" i="2"/>
  <c r="D1110" i="2"/>
  <c r="E1110" i="2"/>
  <c r="F1110" i="2"/>
  <c r="H1110" i="2"/>
  <c r="I1110" i="2"/>
  <c r="G1110" i="2"/>
  <c r="H1111" i="2" l="1"/>
  <c r="I1111" i="2"/>
  <c r="B1111" i="2"/>
  <c r="J1111" i="2"/>
  <c r="D1111" i="2"/>
  <c r="F1111" i="2"/>
  <c r="G1111" i="2"/>
  <c r="A1112" i="2"/>
  <c r="C1111" i="2"/>
  <c r="E1111" i="2"/>
  <c r="F1112" i="2" l="1"/>
  <c r="G1112" i="2"/>
  <c r="H1112" i="2"/>
  <c r="E1112" i="2"/>
  <c r="J1112" i="2"/>
  <c r="A1113" i="2"/>
  <c r="C1112" i="2"/>
  <c r="B1112" i="2"/>
  <c r="D1112" i="2"/>
  <c r="I1112" i="2"/>
  <c r="D1113" i="2" l="1"/>
  <c r="E1113" i="2"/>
  <c r="F1113" i="2"/>
  <c r="I1113" i="2"/>
  <c r="A1114" i="2"/>
  <c r="H1113" i="2"/>
  <c r="C1113" i="2"/>
  <c r="G1113" i="2"/>
  <c r="J1113" i="2"/>
  <c r="B1113" i="2"/>
  <c r="B1114" i="2" l="1"/>
  <c r="J1114" i="2"/>
  <c r="C1114" i="2"/>
  <c r="A1115" i="2"/>
  <c r="D1114" i="2"/>
  <c r="E1114" i="2"/>
  <c r="F1114" i="2"/>
  <c r="G1114" i="2"/>
  <c r="H1114" i="2"/>
  <c r="I1114" i="2"/>
  <c r="H1115" i="2" l="1"/>
  <c r="I1115" i="2"/>
  <c r="B1115" i="2"/>
  <c r="J1115" i="2"/>
  <c r="C1115" i="2"/>
  <c r="E1115" i="2"/>
  <c r="F1115" i="2"/>
  <c r="A1116" i="2"/>
  <c r="D1115" i="2"/>
  <c r="G1115" i="2"/>
  <c r="F1116" i="2" l="1"/>
  <c r="G1116" i="2"/>
  <c r="H1116" i="2"/>
  <c r="D1116" i="2"/>
  <c r="I1116" i="2"/>
  <c r="J1116" i="2"/>
  <c r="C1116" i="2"/>
  <c r="B1116" i="2"/>
  <c r="E1116" i="2"/>
  <c r="A1117" i="2"/>
  <c r="D1117" i="2" l="1"/>
  <c r="E1117" i="2"/>
  <c r="F1117" i="2"/>
  <c r="H1117" i="2"/>
  <c r="J1117" i="2"/>
  <c r="A1118" i="2"/>
  <c r="I1117" i="2"/>
  <c r="G1117" i="2"/>
  <c r="C1117" i="2"/>
  <c r="B1117" i="2"/>
  <c r="B1118" i="2" l="1"/>
  <c r="J1118" i="2"/>
  <c r="C1118" i="2"/>
  <c r="A1119" i="2"/>
  <c r="D1118" i="2"/>
  <c r="I1118" i="2"/>
  <c r="F1118" i="2"/>
  <c r="H1118" i="2"/>
  <c r="E1118" i="2"/>
  <c r="G1118" i="2"/>
  <c r="H1119" i="2" l="1"/>
  <c r="I1119" i="2"/>
  <c r="B1119" i="2"/>
  <c r="J1119" i="2"/>
  <c r="D1119" i="2"/>
  <c r="E1119" i="2"/>
  <c r="A1120" i="2"/>
  <c r="C1119" i="2"/>
  <c r="F1119" i="2"/>
  <c r="G1119" i="2"/>
  <c r="F1120" i="2" l="1"/>
  <c r="G1120" i="2"/>
  <c r="H1120" i="2"/>
  <c r="C1120" i="2"/>
  <c r="E1120" i="2"/>
  <c r="I1120" i="2"/>
  <c r="D1120" i="2"/>
  <c r="B1120" i="2"/>
  <c r="A1121" i="2"/>
  <c r="J1120" i="2"/>
  <c r="D1121" i="2" l="1"/>
  <c r="E1121" i="2"/>
  <c r="F1121" i="2"/>
  <c r="G1121" i="2"/>
  <c r="I1121" i="2"/>
  <c r="J1121" i="2"/>
  <c r="A1122" i="2"/>
  <c r="C1121" i="2"/>
  <c r="H1121" i="2"/>
  <c r="B1121" i="2"/>
  <c r="B1122" i="2" l="1"/>
  <c r="J1122" i="2"/>
  <c r="C1122" i="2"/>
  <c r="D1122" i="2"/>
  <c r="H1122" i="2"/>
  <c r="F1122" i="2"/>
  <c r="E1122" i="2"/>
  <c r="G1122" i="2"/>
  <c r="I1122" i="2"/>
</calcChain>
</file>

<file path=xl/sharedStrings.xml><?xml version="1.0" encoding="utf-8"?>
<sst xmlns="http://schemas.openxmlformats.org/spreadsheetml/2006/main" count="155" uniqueCount="73">
  <si>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</si>
  <si>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</si>
  <si>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</si>
  <si>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</si>
  <si>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</si>
  <si>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</si>
  <si>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</si>
  <si>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</si>
  <si>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</si>
  <si>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</si>
  <si>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</si>
  <si>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</si>
  <si>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</si>
  <si>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</si>
  <si>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</si>
  <si>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</si>
  <si>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</si>
  <si>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</si>
  <si>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</si>
  <si>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</si>
  <si>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</si>
  <si>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</si>
  <si>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</si>
  <si>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</si>
  <si>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</si>
  <si>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July 05, 2016 -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</si>
  <si>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</si>
  <si>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</si>
  <si>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</si>
  <si>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</si>
  <si>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</si>
  <si>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</si>
  <si>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</si>
  <si>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</si>
  <si>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</si>
  <si>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</si>
  <si>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</si>
  <si>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</si>
  <si>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</si>
  <si>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</si>
  <si>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</si>
  <si>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</si>
  <si>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</si>
  <si>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</si>
  <si>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</si>
  <si>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</si>
  <si>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</si>
  <si>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</si>
  <si>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</si>
  <si>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</si>
  <si>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</si>
  <si>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</si>
  <si>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</si>
  <si>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</si>
  <si>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</si>
  <si>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</si>
  <si>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</si>
  <si>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</si>
  <si>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</si>
  <si>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</si>
  <si>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</si>
  <si>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</si>
  <si>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</si>
  <si>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</si>
  <si>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</si>
  <si>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</si>
  <si>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</si>
  <si>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</si>
  <si>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4</t>
  </si>
  <si>
    <t>Attachment No. 54</t>
  </si>
  <si>
    <t>Tab 2 of 4</t>
  </si>
  <si>
    <t>Tab 3 of 4</t>
  </si>
  <si>
    <t>Tab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</si>
</sst>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164" fontId="0" fillId="0" borderId="0">
      <alignment horizontal="left" wrapText="1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3">
    <xf numFmtId="164" fontId="0" fillId="0" borderId="0" xfId="0">
      <alignment horizontal="left" wrapText="1"/>
    </xf>
    <xf numFmtId="0" fontId="3" fillId="0" borderId="0" xfId="3" applyFont="1"/>
    <xf numFmtId="0" fontId="3" fillId="0" borderId="0" xfId="3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3" applyNumberFormat="1" applyFont="1" applyAlignment="1">
      <alignment horizontal="center"/>
    </xf>
    <xf numFmtId="167" fontId="3" fillId="0" borderId="0" xfId="3" applyNumberFormat="1" applyFont="1" applyAlignment="1">
      <alignment horizontal="center"/>
    </xf>
    <xf numFmtId="167" fontId="3" fillId="0" borderId="0" xfId="3" applyNumberFormat="1" applyFont="1"/>
    <xf numFmtId="166" fontId="3" fillId="0" borderId="0" xfId="3" applyNumberFormat="1" applyFont="1"/>
    <xf numFmtId="166" fontId="3" fillId="2" borderId="0" xfId="3" applyNumberFormat="1" applyFont="1" applyFill="1" applyAlignment="1">
      <alignment horizontal="center"/>
    </xf>
    <xf numFmtId="168" fontId="3" fillId="0" borderId="0" xfId="3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3" applyNumberFormat="1" applyFont="1" applyAlignment="1">
      <alignment horizontal="center"/>
    </xf>
    <xf numFmtId="166" fontId="6" fillId="2" borderId="0" xfId="3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3" fillId="0" borderId="0" xfId="3" applyFont="1" applyAlignment="1">
      <alignment horizontal="center" wrapText="1"/>
    </xf>
    <xf numFmtId="0" fontId="6" fillId="3" borderId="0" xfId="3" applyFont="1" applyFill="1" applyAlignment="1">
      <alignment horizontal="center" wrapText="1"/>
    </xf>
    <xf numFmtId="0" fontId="6" fillId="0" borderId="0" xfId="3" applyFont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3" borderId="0" xfId="3" quotePrefix="1" applyFont="1" applyFill="1" applyAlignment="1">
      <alignment horizontal="center" wrapText="1"/>
    </xf>
    <xf numFmtId="0" fontId="6" fillId="0" borderId="0" xfId="3" quotePrefix="1" applyFont="1" applyAlignment="1">
      <alignment horizontal="center" wrapText="1"/>
    </xf>
    <xf numFmtId="0" fontId="6" fillId="0" borderId="0" xfId="3" applyFont="1" applyAlignment="1">
      <alignment horizontal="center"/>
    </xf>
    <xf numFmtId="0" fontId="6" fillId="0" borderId="0" xfId="3" applyFont="1" applyAlignment="1"/>
    <xf numFmtId="10" fontId="8" fillId="4" borderId="0" xfId="3" applyNumberFormat="1" applyFont="1" applyFill="1" applyAlignment="1">
      <alignment horizontal="center"/>
    </xf>
    <xf numFmtId="0" fontId="6" fillId="4" borderId="0" xfId="3" applyFont="1" applyFill="1" applyAlignment="1">
      <alignment horizontal="center"/>
    </xf>
    <xf numFmtId="170" fontId="3" fillId="0" borderId="0" xfId="3" applyNumberFormat="1" applyFont="1"/>
    <xf numFmtId="1" fontId="3" fillId="0" borderId="0" xfId="3" applyNumberFormat="1" applyFont="1"/>
    <xf numFmtId="15" fontId="6" fillId="0" borderId="0" xfId="3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3" applyFont="1"/>
    <xf numFmtId="0" fontId="2" fillId="0" borderId="0" xfId="3" applyFont="1" applyAlignment="1">
      <alignment horizontal="center"/>
    </xf>
    <xf numFmtId="0" fontId="2" fillId="0" borderId="0" xfId="3"/>
    <xf numFmtId="1" fontId="3" fillId="0" borderId="0" xfId="3" applyNumberFormat="1" applyFont="1" applyAlignment="1">
      <alignment horizontal="center"/>
    </xf>
    <xf numFmtId="1" fontId="2" fillId="0" borderId="0" xfId="3" applyNumberFormat="1" applyFont="1" applyAlignment="1">
      <alignment horizontal="center"/>
    </xf>
    <xf numFmtId="1" fontId="3" fillId="5" borderId="0" xfId="3" applyNumberFormat="1" applyFont="1" applyFill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5" borderId="0" xfId="3" applyNumberFormat="1" applyFont="1" applyFill="1" applyAlignment="1">
      <alignment horizontal="center"/>
    </xf>
    <xf numFmtId="171" fontId="6" fillId="6" borderId="0" xfId="3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3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3" applyFont="1" applyFill="1" applyAlignment="1">
      <alignment horizontal="center" wrapText="1"/>
    </xf>
    <xf numFmtId="0" fontId="6" fillId="6" borderId="0" xfId="3" applyFont="1" applyFill="1" applyAlignment="1">
      <alignment horizontal="center" wrapText="1"/>
    </xf>
    <xf numFmtId="0" fontId="6" fillId="2" borderId="0" xfId="3" quotePrefix="1" applyFont="1" applyFill="1" applyAlignment="1">
      <alignment horizontal="center" wrapText="1"/>
    </xf>
    <xf numFmtId="0" fontId="6" fillId="0" borderId="0" xfId="3" quotePrefix="1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6" fillId="0" borderId="0" xfId="3" applyFont="1" applyFill="1" applyAlignment="1"/>
    <xf numFmtId="0" fontId="6" fillId="7" borderId="0" xfId="3" applyFont="1" applyFill="1" applyAlignment="1">
      <alignment horizontal="center"/>
    </xf>
    <xf numFmtId="0" fontId="6" fillId="0" borderId="0" xfId="3" applyFont="1"/>
    <xf numFmtId="0" fontId="2" fillId="0" borderId="0" xfId="3" applyFont="1" applyAlignment="1">
      <alignment horizontal="center" wrapText="1"/>
    </xf>
    <xf numFmtId="0" fontId="6" fillId="0" borderId="0" xfId="3" quotePrefix="1" applyFont="1" applyFill="1" applyAlignment="1">
      <alignment horizontal="center" wrapText="1"/>
    </xf>
    <xf numFmtId="0" fontId="6" fillId="5" borderId="0" xfId="3" applyFont="1" applyFill="1" applyAlignment="1"/>
    <xf numFmtId="15" fontId="6" fillId="0" borderId="0" xfId="3" applyNumberFormat="1" applyFont="1" applyFill="1" applyAlignment="1">
      <alignment horizontal="left"/>
    </xf>
    <xf numFmtId="9" fontId="11" fillId="10" borderId="0" xfId="2" applyFont="1" applyFill="1" applyAlignment="1">
      <alignment horizontal="center"/>
    </xf>
    <xf numFmtId="0" fontId="12" fillId="10" borderId="0" xfId="3" applyFont="1" applyFill="1" applyAlignment="1">
      <alignment horizontal="center"/>
    </xf>
    <xf numFmtId="0" fontId="2" fillId="0" borderId="0" xfId="3" applyFont="1" applyFill="1"/>
    <xf numFmtId="0" fontId="13" fillId="0" borderId="0" xfId="3" applyFont="1" applyFill="1"/>
    <xf numFmtId="0" fontId="14" fillId="0" borderId="0" xfId="3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44" fontId="15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7" borderId="0" xfId="0" quotePrefix="1" applyNumberFormat="1" applyFont="1" applyFill="1" applyAlignment="1">
      <alignment horizontal="center" vertical="center" wrapText="1"/>
    </xf>
    <xf numFmtId="0" fontId="16" fillId="0" borderId="0" xfId="3" applyFont="1"/>
    <xf numFmtId="10" fontId="8" fillId="4" borderId="0" xfId="3" quotePrefix="1" applyNumberFormat="1" applyFont="1" applyFill="1" applyAlignment="1">
      <alignment horizontal="center"/>
    </xf>
    <xf numFmtId="15" fontId="6" fillId="4" borderId="0" xfId="3" applyNumberFormat="1" applyFont="1" applyFill="1" applyAlignment="1">
      <alignment horizontal="left"/>
    </xf>
    <xf numFmtId="15" fontId="6" fillId="0" borderId="0" xfId="3" quotePrefix="1" applyNumberFormat="1" applyFont="1" applyAlignment="1">
      <alignment horizontal="left"/>
    </xf>
    <xf numFmtId="0" fontId="17" fillId="0" borderId="0" xfId="3" applyFont="1"/>
    <xf numFmtId="165" fontId="0" fillId="0" borderId="0" xfId="0" applyNumberFormat="1" applyAlignment="1"/>
    <xf numFmtId="43" fontId="0" fillId="0" borderId="0" xfId="30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3" borderId="0" xfId="3" quotePrefix="1" applyFont="1" applyFill="1" applyAlignment="1">
      <alignment horizontal="center"/>
    </xf>
    <xf numFmtId="0" fontId="6" fillId="8" borderId="0" xfId="3" quotePrefix="1" applyFont="1" applyFill="1" applyAlignment="1">
      <alignment horizontal="center"/>
    </xf>
    <xf numFmtId="0" fontId="6" fillId="9" borderId="0" xfId="3" applyFont="1" applyFill="1" applyAlignment="1">
      <alignment horizontal="center"/>
    </xf>
    <xf numFmtId="165" fontId="6" fillId="8" borderId="0" xfId="0" quotePrefix="1" applyNumberFormat="1" applyFont="1" applyFill="1" applyAlignment="1">
      <alignment horizontal="center"/>
    </xf>
    <xf numFmtId="0" fontId="6" fillId="0" borderId="0" xfId="3" applyFont="1" applyAlignment="1">
      <alignment horizontal="center"/>
    </xf>
    <xf numFmtId="0" fontId="6" fillId="6" borderId="0" xfId="3" quotePrefix="1" applyFont="1" applyFill="1" applyAlignment="1">
      <alignment horizontal="center"/>
    </xf>
    <xf numFmtId="0" fontId="6" fillId="6" borderId="0" xfId="3" applyFont="1" applyFill="1" applyAlignment="1">
      <alignment horizontal="center"/>
    </xf>
    <xf numFmtId="0" fontId="6" fillId="8" borderId="0" xfId="3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64">
    <cellStyle name="_x0013_" xfId="4"/>
    <cellStyle name="_CC Oil" xfId="5"/>
    <cellStyle name="_DSO Oil" xfId="6"/>
    <cellStyle name="_FLCC Oil" xfId="7"/>
    <cellStyle name="_FLPEGT Oil" xfId="8"/>
    <cellStyle name="_FMCT Oil" xfId="9"/>
    <cellStyle name="_GTDW_DataTemplate" xfId="10"/>
    <cellStyle name="_Gulfstream Gas" xfId="11"/>
    <cellStyle name="_MR .7 Oil" xfId="12"/>
    <cellStyle name="_MR 1 Oil" xfId="13"/>
    <cellStyle name="_MRCT Oil" xfId="14"/>
    <cellStyle name="_MT Gulfstream Gas" xfId="15"/>
    <cellStyle name="_MT Oil" xfId="16"/>
    <cellStyle name="_OLCT Oil" xfId="17"/>
    <cellStyle name="_PE Oil" xfId="18"/>
    <cellStyle name="_PN Oil" xfId="19"/>
    <cellStyle name="_RV Oil" xfId="20"/>
    <cellStyle name="_SHCT Oil" xfId="21"/>
    <cellStyle name="_SN Oil" xfId="22"/>
    <cellStyle name="_TP Oil" xfId="23"/>
    <cellStyle name="Comma 2" xfId="24"/>
    <cellStyle name="Comma 3" xfId="25"/>
    <cellStyle name="Comma 3 2" xfId="26"/>
    <cellStyle name="Comma 3 2 2" xfId="27"/>
    <cellStyle name="Comma 3 3" xfId="28"/>
    <cellStyle name="Comma 4" xfId="29"/>
    <cellStyle name="Comma 4 2" xfId="30"/>
    <cellStyle name="Comma 5" xfId="31"/>
    <cellStyle name="Currency" xfId="1" builtinId="4"/>
    <cellStyle name="Normal" xfId="0" builtinId="0"/>
    <cellStyle name="Normal 10" xfId="32"/>
    <cellStyle name="Normal 10 2" xfId="33"/>
    <cellStyle name="Normal 2" xfId="34"/>
    <cellStyle name="Normal 2 2" xfId="35"/>
    <cellStyle name="Normal 2 2 2" xfId="36"/>
    <cellStyle name="Normal 2 2 2 2" xfId="37"/>
    <cellStyle name="Normal 2 2 3" xfId="38"/>
    <cellStyle name="Normal 2 3" xfId="39"/>
    <cellStyle name="Normal 2 3 2" xfId="40"/>
    <cellStyle name="Normal 2 3 2 2" xfId="41"/>
    <cellStyle name="Normal 2 3 3" xfId="42"/>
    <cellStyle name="Normal 2 4" xfId="43"/>
    <cellStyle name="Normal 2 4 2" xfId="44"/>
    <cellStyle name="Normal 2 4 2 2" xfId="45"/>
    <cellStyle name="Normal 2 4 3" xfId="46"/>
    <cellStyle name="Normal 2 5" xfId="47"/>
    <cellStyle name="Normal 2 6" xfId="48"/>
    <cellStyle name="Normal 2 6 2" xfId="49"/>
    <cellStyle name="Normal 2 7" xfId="50"/>
    <cellStyle name="Normal 2 8" xfId="51"/>
    <cellStyle name="Normal 3" xfId="52"/>
    <cellStyle name="Normal 4" xfId="53"/>
    <cellStyle name="Normal 5" xfId="54"/>
    <cellStyle name="Normal 5 2" xfId="55"/>
    <cellStyle name="Normal 5 2 2" xfId="56"/>
    <cellStyle name="Normal 5 3" xfId="57"/>
    <cellStyle name="Normal 6" xfId="58"/>
    <cellStyle name="Normal 6 2" xfId="59"/>
    <cellStyle name="Normal 7" xfId="60"/>
    <cellStyle name="Normal 7 2" xfId="61"/>
    <cellStyle name="Normal 8" xfId="62"/>
    <cellStyle name="Normal 9" xfId="63"/>
    <cellStyle name="Normal_060415 RAP Fuel Price Forecast Template - Case 1 (Historical Spread)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2" fmlaRange="CONTROL!$B$12:$B$14" sel="2" val="0"/>
</file>

<file path=xl/ctrlProps/ctrlProp2.xml><?xml version="1.0" encoding="utf-8"?>
<formControlPr xmlns="http://schemas.microsoft.com/office/spreadsheetml/2009/9/main" objectType="Drop" dropLines="2" dropStyle="combo" dx="18" fmlaLink="CONTROL!$C$29" fmlaRange="CONTROL!$B$29:$B$30" val="0"/>
</file>

<file path=xl/ctrlProps/ctrlProp3.xml><?xml version="1.0" encoding="utf-8"?>
<formControlPr xmlns="http://schemas.microsoft.com/office/spreadsheetml/2009/9/main" objectType="Drop" dropLines="3" dropStyle="combo" dx="18" fmlaLink="CONTROL!$C$6" fmlaRange="CONTROL!$B$6:$B$8" sel="2" val="0"/>
</file>

<file path=xl/ctrlProps/ctrlProp4.xml><?xml version="1.0" encoding="utf-8"?>
<formControlPr xmlns="http://schemas.microsoft.com/office/spreadsheetml/2009/9/main" objectType="Drop" dropLines="2" dropStyle="combo" dx="18" fmlaLink="CONTROL!$C$25" fmlaRange="CONTROL!$B$25:$B$26" val="0"/>
</file>

<file path=xl/ctrlProps/ctrlProp5.xml><?xml version="1.0" encoding="utf-8"?>
<formControlPr xmlns="http://schemas.microsoft.com/office/spreadsheetml/2009/9/main" objectType="Drop" dropLines="3" dropStyle="combo" dx="18" fmlaLink="CONTROL!$C$19" fmlaRange="CONTROL!$B$19:$B$2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142875</xdr:rowOff>
        </xdr:from>
        <xdr:to>
          <xdr:col>4</xdr:col>
          <xdr:colOff>533400</xdr:colOff>
          <xdr:row>13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142875</xdr:rowOff>
        </xdr:from>
        <xdr:to>
          <xdr:col>6</xdr:col>
          <xdr:colOff>257175</xdr:colOff>
          <xdr:row>13</xdr:row>
          <xdr:rowOff>47625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60705%202016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FPL LONG TERM GAS &amp; OIL INDEX"/>
      <sheetName val="OIL &amp; GAS SEASONALITY"/>
      <sheetName val="DEMAND CHARGE CONTROL SHEET"/>
      <sheetName val="CAPACITY"/>
      <sheetName val="GAS AVAILABILITY WORKSHEET"/>
      <sheetName val="NATURAL GAS PRICES WORKSHEET"/>
      <sheetName val="FGT NON-FIRM"/>
      <sheetName val="Commodity Price"/>
      <sheetName val="DEMAND CHARGE"/>
      <sheetName val="GAS BASIS"/>
      <sheetName val="TRANSPORT"/>
      <sheetName val="GULFSTREAM FIRM "/>
      <sheetName val="GULFSTREAM NON-FIRM"/>
      <sheetName val="UPS REPLACEMENT"/>
      <sheetName val="Upload"/>
      <sheetName val="DISTILLATE &amp; RESIDUAL FUEL OIL"/>
      <sheetName val="FGT PRIMARY FIRM ZONE 1"/>
      <sheetName val="FGT PRIMARY FIRM ZONE 2"/>
      <sheetName val="FGT PRIMARY FIRM ZONE 3"/>
      <sheetName val="INCREMENTAL Z3"/>
      <sheetName val="GULF SOUTH"/>
      <sheetName val="TRANSCO 4A"/>
      <sheetName val="SESH"/>
      <sheetName val="SABAL TRAIL - FSC"/>
      <sheetName val="DISPATCH SUMMARY SHEET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37"/>
  <sheetViews>
    <sheetView tabSelected="1" zoomScale="70" zoomScaleNormal="70" workbookViewId="0">
      <pane xSplit="1" ySplit="16" topLeftCell="B17" activePane="bottomRight" state="frozen"/>
      <selection activeCell="J39" sqref="J39"/>
      <selection pane="topRight" activeCell="J39" sqref="J39"/>
      <selection pane="bottomLeft" activeCell="J39" sqref="J39"/>
      <selection pane="bottomRight" sqref="A1:A6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1" t="s">
        <v>64</v>
      </c>
    </row>
    <row r="2" spans="1:19" ht="15.75">
      <c r="A2" s="81" t="s">
        <v>65</v>
      </c>
    </row>
    <row r="3" spans="1:19" ht="15.75">
      <c r="A3" s="81" t="s">
        <v>66</v>
      </c>
    </row>
    <row r="4" spans="1:19" ht="15.75">
      <c r="A4" s="81" t="s">
        <v>67</v>
      </c>
    </row>
    <row r="5" spans="1:19" ht="15.75">
      <c r="A5" s="81" t="s">
        <v>69</v>
      </c>
    </row>
    <row r="6" spans="1:19" ht="15.75">
      <c r="A6" s="81" t="s">
        <v>68</v>
      </c>
    </row>
    <row r="8" spans="1:19" ht="24.75" customHeight="1">
      <c r="A8" s="28" t="s">
        <v>26</v>
      </c>
    </row>
    <row r="9" spans="1:19" ht="15" customHeight="1">
      <c r="A9" s="27" t="s">
        <v>25</v>
      </c>
    </row>
    <row r="10" spans="1:19" ht="15" customHeight="1">
      <c r="A10" s="1"/>
      <c r="G10" s="26"/>
      <c r="N10" s="25"/>
    </row>
    <row r="11" spans="1:19" ht="15" customHeight="1">
      <c r="C11" s="24" t="s">
        <v>24</v>
      </c>
      <c r="D11" s="23">
        <f>1-0.196</f>
        <v>0.80400000000000005</v>
      </c>
      <c r="E11" s="24" t="s">
        <v>23</v>
      </c>
      <c r="F11" s="23">
        <f>1+0.196</f>
        <v>1.196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2"/>
      <c r="L13" s="82" t="s">
        <v>22</v>
      </c>
      <c r="M13" s="82"/>
      <c r="N13" s="82"/>
      <c r="O13" s="82"/>
      <c r="P13" s="82"/>
      <c r="Q13" s="82"/>
      <c r="R13" s="82"/>
      <c r="S13" s="82"/>
    </row>
    <row r="14" spans="1:19" ht="15" customHeight="1">
      <c r="B14" s="10"/>
      <c r="C14" s="10"/>
      <c r="D14" s="10"/>
      <c r="E14" s="10"/>
      <c r="F14" s="10"/>
      <c r="G14" s="10"/>
      <c r="I14" s="10"/>
      <c r="K14" s="21"/>
      <c r="L14" s="82" t="s">
        <v>21</v>
      </c>
      <c r="M14" s="82"/>
      <c r="N14" s="82"/>
      <c r="O14" s="82"/>
      <c r="P14" s="82"/>
      <c r="Q14" s="82"/>
      <c r="R14" s="82"/>
      <c r="S14" s="82"/>
    </row>
    <row r="15" spans="1:19" s="15" customFormat="1" ht="112.5" customHeight="1">
      <c r="B15" s="18" t="s">
        <v>20</v>
      </c>
      <c r="C15" s="18" t="s">
        <v>19</v>
      </c>
      <c r="D15" s="18" t="s">
        <v>18</v>
      </c>
      <c r="E15" s="18" t="s">
        <v>17</v>
      </c>
      <c r="F15" s="17" t="s">
        <v>16</v>
      </c>
      <c r="G15" s="18" t="s">
        <v>15</v>
      </c>
      <c r="H15" s="17" t="s">
        <v>14</v>
      </c>
      <c r="I15" s="18" t="s">
        <v>13</v>
      </c>
      <c r="J15" s="17" t="s">
        <v>12</v>
      </c>
      <c r="K15" s="20" t="s">
        <v>11</v>
      </c>
      <c r="L15" s="16" t="s">
        <v>10</v>
      </c>
      <c r="M15" s="16" t="s">
        <v>9</v>
      </c>
      <c r="N15" s="16" t="s">
        <v>8</v>
      </c>
      <c r="O15" s="16" t="s">
        <v>7</v>
      </c>
      <c r="P15" s="16" t="s">
        <v>6</v>
      </c>
      <c r="Q15" s="16" t="s">
        <v>5</v>
      </c>
      <c r="R15" s="16" t="s">
        <v>4</v>
      </c>
      <c r="S15" s="19" t="s">
        <v>3</v>
      </c>
    </row>
    <row r="16" spans="1:19" s="15" customFormat="1" ht="15" customHeight="1">
      <c r="A16" s="17" t="s">
        <v>2</v>
      </c>
      <c r="B16" s="18" t="s">
        <v>1</v>
      </c>
      <c r="C16" s="18" t="s">
        <v>1</v>
      </c>
      <c r="D16" s="18" t="s">
        <v>1</v>
      </c>
      <c r="E16" s="18" t="s">
        <v>1</v>
      </c>
      <c r="F16" s="17" t="s">
        <v>1</v>
      </c>
      <c r="G16" s="18" t="s">
        <v>1</v>
      </c>
      <c r="H16" s="17" t="s">
        <v>1</v>
      </c>
      <c r="I16" s="18" t="s">
        <v>1</v>
      </c>
      <c r="J16" s="17" t="s">
        <v>1</v>
      </c>
      <c r="K16" s="17" t="s">
        <v>1</v>
      </c>
      <c r="L16" s="16" t="s">
        <v>0</v>
      </c>
      <c r="M16" s="16" t="s">
        <v>0</v>
      </c>
      <c r="N16" s="16" t="s">
        <v>0</v>
      </c>
      <c r="O16" s="16" t="s">
        <v>0</v>
      </c>
      <c r="P16" s="16" t="s">
        <v>0</v>
      </c>
      <c r="Q16" s="16" t="s">
        <v>0</v>
      </c>
      <c r="R16" s="16" t="s">
        <v>0</v>
      </c>
      <c r="S16" s="16" t="s">
        <v>0</v>
      </c>
    </row>
    <row r="17" spans="1:19" ht="15" customHeight="1">
      <c r="A17" s="13">
        <v>42370</v>
      </c>
      <c r="B17" s="8">
        <f>2.4804 * CHOOSE(CONTROL!$C$12, $D$11, 100%, $F$11)</f>
        <v>2.4803999999999999</v>
      </c>
      <c r="C17" s="8">
        <f>2.4909 * CHOOSE(CONTROL!$C$12, $D$11, 100%, $F$11)</f>
        <v>2.4908999999999999</v>
      </c>
      <c r="D17" s="8">
        <f>2.4897 * CHOOSE( CONTROL!$C$12, $D$11, 100%, $F$11)</f>
        <v>2.4897</v>
      </c>
      <c r="E17" s="12">
        <f>2.489 * CHOOSE( CONTROL!$C$12, $D$11, 100%, $F$11)</f>
        <v>2.4889999999999999</v>
      </c>
      <c r="F17" s="4">
        <f>3.5033 * CHOOSE(CONTROL!$C$12, $D$11, 100%, $F$11)</f>
        <v>3.5032999999999999</v>
      </c>
      <c r="G17" s="8">
        <f>2.4456 * CHOOSE( CONTROL!$C$12, $D$11, 100%, $F$11)</f>
        <v>2.4456000000000002</v>
      </c>
      <c r="H17" s="4">
        <f>3.3387 * CHOOSE(CONTROL!$C$12, $D$11, 100%, $F$11)</f>
        <v>3.3386999999999998</v>
      </c>
      <c r="I17" s="8"/>
      <c r="J17" s="4">
        <f>2.372 * CHOOSE(CONTROL!$C$12, $D$11, 100%, $F$11)</f>
        <v>2.3719999999999999</v>
      </c>
      <c r="K17" s="4"/>
      <c r="L17" s="9">
        <v>29.306000000000001</v>
      </c>
      <c r="M17" s="9">
        <v>12.063700000000001</v>
      </c>
      <c r="N17" s="9">
        <v>4.9444999999999997</v>
      </c>
      <c r="O17" s="9">
        <v>0.61660000000000004</v>
      </c>
      <c r="P17" s="9">
        <v>1.2939000000000001</v>
      </c>
      <c r="Q17" s="9"/>
      <c r="R17" s="9">
        <f t="shared" ref="R17:R32" si="0">(0.1*4000000)/1000000</f>
        <v>0.4</v>
      </c>
      <c r="S17" s="11"/>
    </row>
    <row r="18" spans="1:19" ht="15" customHeight="1">
      <c r="A18" s="13">
        <v>42401</v>
      </c>
      <c r="B18" s="8">
        <f>2.2895 * CHOOSE(CONTROL!$C$12, $D$11, 100%, $F$11)</f>
        <v>2.2894999999999999</v>
      </c>
      <c r="C18" s="8">
        <f>2.2999 * CHOOSE(CONTROL!$C$12, $D$11, 100%, $F$11)</f>
        <v>2.2999000000000001</v>
      </c>
      <c r="D18" s="8">
        <f>2.3012 * CHOOSE( CONTROL!$C$12, $D$11, 100%, $F$11)</f>
        <v>2.3012000000000001</v>
      </c>
      <c r="E18" s="12">
        <f>2.2996 * CHOOSE( CONTROL!$C$12, $D$11, 100%, $F$11)</f>
        <v>2.2995999999999999</v>
      </c>
      <c r="F18" s="4">
        <f>3.3045 * CHOOSE(CONTROL!$C$12, $D$11, 100%, $F$11)</f>
        <v>3.3045</v>
      </c>
      <c r="G18" s="8">
        <f>2.2592 * CHOOSE( CONTROL!$C$12, $D$11, 100%, $F$11)</f>
        <v>2.2591999999999999</v>
      </c>
      <c r="H18" s="4">
        <f>3.1449 * CHOOSE(CONTROL!$C$12, $D$11, 100%, $F$11)</f>
        <v>3.1448999999999998</v>
      </c>
      <c r="I18" s="8"/>
      <c r="J18" s="4">
        <f>2.189 * CHOOSE(CONTROL!$C$12, $D$11, 100%, $F$11)</f>
        <v>2.1890000000000001</v>
      </c>
      <c r="K18" s="4"/>
      <c r="L18" s="9">
        <v>27.0672</v>
      </c>
      <c r="M18" s="9">
        <v>11.285299999999999</v>
      </c>
      <c r="N18" s="9">
        <v>4.6254999999999997</v>
      </c>
      <c r="O18" s="9">
        <v>0.57679999999999998</v>
      </c>
      <c r="P18" s="9">
        <v>1.2104999999999999</v>
      </c>
      <c r="Q18" s="9"/>
      <c r="R18" s="9">
        <f t="shared" si="0"/>
        <v>0.4</v>
      </c>
      <c r="S18" s="11"/>
    </row>
    <row r="19" spans="1:19" ht="15" customHeight="1">
      <c r="A19" s="13">
        <v>42430</v>
      </c>
      <c r="B19" s="8">
        <f>1.7906 * CHOOSE(CONTROL!$C$12, $D$11, 100%, $F$11)</f>
        <v>1.7906</v>
      </c>
      <c r="C19" s="8">
        <f>1.801 * CHOOSE(CONTROL!$C$12, $D$11, 100%, $F$11)</f>
        <v>1.8009999999999999</v>
      </c>
      <c r="D19" s="8">
        <f>1.7807 * CHOOSE( CONTROL!$C$12, $D$11, 100%, $F$11)</f>
        <v>1.7806999999999999</v>
      </c>
      <c r="E19" s="12">
        <f>1.787 * CHOOSE( CONTROL!$C$12, $D$11, 100%, $F$11)</f>
        <v>1.7869999999999999</v>
      </c>
      <c r="F19" s="4">
        <f>2.7895 * CHOOSE(CONTROL!$C$12, $D$11, 100%, $F$11)</f>
        <v>2.7894999999999999</v>
      </c>
      <c r="G19" s="8">
        <f>1.7528 * CHOOSE( CONTROL!$C$12, $D$11, 100%, $F$11)</f>
        <v>1.7527999999999999</v>
      </c>
      <c r="H19" s="4">
        <f>2.6429 * CHOOSE(CONTROL!$C$12, $D$11, 100%, $F$11)</f>
        <v>2.6429</v>
      </c>
      <c r="I19" s="8"/>
      <c r="J19" s="4">
        <f>1.711 * CHOOSE(CONTROL!$C$12, $D$11, 100%, $F$11)</f>
        <v>1.7110000000000001</v>
      </c>
      <c r="K19" s="4"/>
      <c r="L19" s="9">
        <v>28.933900000000001</v>
      </c>
      <c r="M19" s="9">
        <v>12.063700000000001</v>
      </c>
      <c r="N19" s="9">
        <v>4.9444999999999997</v>
      </c>
      <c r="O19" s="9">
        <v>0.61660000000000004</v>
      </c>
      <c r="P19" s="9">
        <v>1.2939000000000001</v>
      </c>
      <c r="Q19" s="9"/>
      <c r="R19" s="9">
        <f t="shared" si="0"/>
        <v>0.4</v>
      </c>
      <c r="S19" s="11"/>
    </row>
    <row r="20" spans="1:19" ht="15" customHeight="1">
      <c r="A20" s="13">
        <v>42461</v>
      </c>
      <c r="B20" s="8">
        <f>1.991 * CHOOSE(CONTROL!$C$12, $D$11, 100%, $F$11)</f>
        <v>1.9910000000000001</v>
      </c>
      <c r="C20" s="8">
        <f>2.0014 * CHOOSE(CONTROL!$C$12, $D$11, 100%, $F$11)</f>
        <v>2.0013999999999998</v>
      </c>
      <c r="D20" s="8">
        <f>1.9874 * CHOOSE( CONTROL!$C$12, $D$11, 100%, $F$11)</f>
        <v>1.9874000000000001</v>
      </c>
      <c r="E20" s="12">
        <f>1.9908 * CHOOSE( CONTROL!$C$12, $D$11, 100%, $F$11)</f>
        <v>1.9907999999999999</v>
      </c>
      <c r="F20" s="4">
        <f>2.9982 * CHOOSE(CONTROL!$C$12, $D$11, 100%, $F$11)</f>
        <v>2.9982000000000002</v>
      </c>
      <c r="G20" s="8">
        <f>1.9367 * CHOOSE( CONTROL!$C$12, $D$11, 100%, $F$11)</f>
        <v>1.9367000000000001</v>
      </c>
      <c r="H20" s="4">
        <f>2.8463 * CHOOSE(CONTROL!$C$12, $D$11, 100%, $F$11)</f>
        <v>2.8462999999999998</v>
      </c>
      <c r="I20" s="8"/>
      <c r="J20" s="4">
        <f>1.903 * CHOOSE(CONTROL!$C$12, $D$11, 100%, $F$11)</f>
        <v>1.903</v>
      </c>
      <c r="K20" s="4"/>
      <c r="L20" s="9">
        <v>29.665800000000001</v>
      </c>
      <c r="M20" s="9">
        <v>11.6745</v>
      </c>
      <c r="N20" s="9">
        <v>4.7850000000000001</v>
      </c>
      <c r="O20" s="9">
        <v>0.59670000000000001</v>
      </c>
      <c r="P20" s="9">
        <v>2.0352000000000001</v>
      </c>
      <c r="Q20" s="9"/>
      <c r="R20" s="9">
        <f t="shared" si="0"/>
        <v>0.4</v>
      </c>
      <c r="S20" s="11"/>
    </row>
    <row r="21" spans="1:19" ht="15" customHeight="1">
      <c r="A21" s="13">
        <v>42491</v>
      </c>
      <c r="B21" s="8">
        <f>CHOOSE( CONTROL!$C$29, 2.0912, 2.087) * CHOOSE(CONTROL!$C$12, $D$11, 100%, $F$11)</f>
        <v>2.0912000000000002</v>
      </c>
      <c r="C21" s="8">
        <f>CHOOSE( CONTROL!$C$29, 2.1017, 2.0974) * CHOOSE(CONTROL!$C$12, $D$11, 100%, $F$11)</f>
        <v>2.1017000000000001</v>
      </c>
      <c r="D21" s="8">
        <f>CHOOSE( CONTROL!$C$29, 2.0718, 2.0676) * CHOOSE( CONTROL!$C$12, $D$11, 100%, $F$11)</f>
        <v>2.0718000000000001</v>
      </c>
      <c r="E21" s="12">
        <f>CHOOSE( CONTROL!$C$29, 2.0802, 2.076) * CHOOSE( CONTROL!$C$12, $D$11, 100%, $F$11)</f>
        <v>2.0802</v>
      </c>
      <c r="F21" s="4">
        <f>CHOOSE( CONTROL!$C$29, 3.0661, 3.0619) * CHOOSE(CONTROL!$C$12, $D$11, 100%, $F$11)</f>
        <v>3.0661</v>
      </c>
      <c r="G21" s="8">
        <f>CHOOSE( CONTROL!$C$29, 2.0144, 2.0103) * CHOOSE( CONTROL!$C$12, $D$11, 100%, $F$11)</f>
        <v>2.0144000000000002</v>
      </c>
      <c r="H21" s="4">
        <f>CHOOSE( CONTROL!$C$29, 2.9125, 2.9084) * CHOOSE(CONTROL!$C$12, $D$11, 100%, $F$11)</f>
        <v>2.9125000000000001</v>
      </c>
      <c r="I21" s="8"/>
      <c r="J21" s="4">
        <f>CHOOSE( CONTROL!$C$29, 1.9991, 1.995) * CHOOSE(CONTROL!$C$12, $D$11, 100%, $F$11)</f>
        <v>1.9991000000000001</v>
      </c>
      <c r="K21" s="4"/>
      <c r="L21" s="9">
        <v>34.542499999999997</v>
      </c>
      <c r="M21" s="9">
        <v>12.063700000000001</v>
      </c>
      <c r="N21" s="9">
        <v>4.9444999999999997</v>
      </c>
      <c r="O21" s="9">
        <v>0.37459999999999999</v>
      </c>
      <c r="P21" s="9">
        <v>1.3714999999999999</v>
      </c>
      <c r="Q21" s="9"/>
      <c r="R21" s="9">
        <f t="shared" si="0"/>
        <v>0.4</v>
      </c>
      <c r="S21" s="11"/>
    </row>
    <row r="22" spans="1:19" ht="15" customHeight="1">
      <c r="A22" s="13">
        <v>42522</v>
      </c>
      <c r="B22" s="8">
        <f>CHOOSE( CONTROL!$C$29, 2.0578, 2.0536) * CHOOSE(CONTROL!$C$12, $D$11, 100%, $F$11)</f>
        <v>2.0577999999999999</v>
      </c>
      <c r="C22" s="8">
        <f>CHOOSE( CONTROL!$C$29, 2.0683, 2.064) * CHOOSE(CONTROL!$C$12, $D$11, 100%, $F$11)</f>
        <v>2.0682999999999998</v>
      </c>
      <c r="D22" s="8">
        <f>CHOOSE( CONTROL!$C$29, 2.034, 2.0297) * CHOOSE( CONTROL!$C$12, $D$11, 100%, $F$11)</f>
        <v>2.0339999999999998</v>
      </c>
      <c r="E22" s="12">
        <f>CHOOSE( CONTROL!$C$29, 2.0439, 2.0396) * CHOOSE( CONTROL!$C$12, $D$11, 100%, $F$11)</f>
        <v>2.0438999999999998</v>
      </c>
      <c r="F22" s="4">
        <f>CHOOSE( CONTROL!$C$29, 3.0223, 3.0181) * CHOOSE(CONTROL!$C$12, $D$11, 100%, $F$11)</f>
        <v>3.0223</v>
      </c>
      <c r="G22" s="8">
        <f>CHOOSE( CONTROL!$C$29, 1.9806, 1.9765) * CHOOSE( CONTROL!$C$12, $D$11, 100%, $F$11)</f>
        <v>1.9805999999999999</v>
      </c>
      <c r="H22" s="4">
        <f>CHOOSE( CONTROL!$C$29, 2.8698, 2.8657) * CHOOSE(CONTROL!$C$12, $D$11, 100%, $F$11)</f>
        <v>2.8698000000000001</v>
      </c>
      <c r="I22" s="8"/>
      <c r="J22" s="4">
        <f>CHOOSE( CONTROL!$C$29, 1.9671, 1.963) * CHOOSE(CONTROL!$C$12, $D$11, 100%, $F$11)</f>
        <v>1.9671000000000001</v>
      </c>
      <c r="K22" s="4"/>
      <c r="L22" s="9">
        <v>33.428199999999997</v>
      </c>
      <c r="M22" s="9">
        <v>11.6745</v>
      </c>
      <c r="N22" s="9">
        <v>4.7850000000000001</v>
      </c>
      <c r="O22" s="9">
        <v>0.36249999999999999</v>
      </c>
      <c r="P22" s="9">
        <v>1.3272999999999999</v>
      </c>
      <c r="Q22" s="9"/>
      <c r="R22" s="9">
        <f t="shared" si="0"/>
        <v>0.4</v>
      </c>
      <c r="S22" s="11"/>
    </row>
    <row r="23" spans="1:19" ht="15" customHeight="1">
      <c r="A23" s="13">
        <v>42552</v>
      </c>
      <c r="B23" s="8">
        <f>CHOOSE( CONTROL!$C$29, 3.0535, 3.0492) * CHOOSE(CONTROL!$C$12, $D$11, 100%, $F$11)</f>
        <v>3.0535000000000001</v>
      </c>
      <c r="C23" s="8">
        <f>CHOOSE( CONTROL!$C$29, 3.0639, 3.0596) * CHOOSE(CONTROL!$C$12, $D$11, 100%, $F$11)</f>
        <v>3.0638999999999998</v>
      </c>
      <c r="D23" s="8">
        <f>CHOOSE( CONTROL!$C$29, 3.0607, 3.0565) * CHOOSE( CONTROL!$C$12, $D$11, 100%, $F$11)</f>
        <v>3.0607000000000002</v>
      </c>
      <c r="E23" s="12">
        <f>CHOOSE( CONTROL!$C$29, 3.0603, 3.0561) * CHOOSE( CONTROL!$C$12, $D$11, 100%, $F$11)</f>
        <v>3.0602999999999998</v>
      </c>
      <c r="F23" s="4">
        <f>CHOOSE( CONTROL!$C$29, 4.0633, 4.0591) * CHOOSE(CONTROL!$C$12, $D$11, 100%, $F$11)</f>
        <v>4.0632999999999999</v>
      </c>
      <c r="G23" s="8">
        <f>CHOOSE( CONTROL!$C$29, 2.9772, 2.973) * CHOOSE( CONTROL!$C$12, $D$11, 100%, $F$11)</f>
        <v>2.9771999999999998</v>
      </c>
      <c r="H23" s="4">
        <f>CHOOSE( CONTROL!$C$29, 3.8846, 3.8804) * CHOOSE(CONTROL!$C$12, $D$11, 100%, $F$11)</f>
        <v>3.8845999999999998</v>
      </c>
      <c r="I23" s="8"/>
      <c r="J23" s="4">
        <f>CHOOSE( CONTROL!$C$29, 2.9211, 2.917) * CHOOSE(CONTROL!$C$12, $D$11, 100%, $F$11)</f>
        <v>2.9211</v>
      </c>
      <c r="K23" s="4"/>
      <c r="L23" s="9">
        <v>34.542499999999997</v>
      </c>
      <c r="M23" s="9">
        <v>12.063700000000001</v>
      </c>
      <c r="N23" s="9">
        <v>4.9444999999999997</v>
      </c>
      <c r="O23" s="9">
        <v>0.37459999999999999</v>
      </c>
      <c r="P23" s="9">
        <v>1.3714999999999999</v>
      </c>
      <c r="Q23" s="9"/>
      <c r="R23" s="9">
        <f t="shared" si="0"/>
        <v>0.4</v>
      </c>
      <c r="S23" s="11"/>
    </row>
    <row r="24" spans="1:19" ht="15" customHeight="1">
      <c r="A24" s="13">
        <v>42583</v>
      </c>
      <c r="B24" s="8">
        <f>CHOOSE( CONTROL!$C$29, 2.8938, 2.8895) * CHOOSE(CONTROL!$C$12, $D$11, 100%, $F$11)</f>
        <v>2.8938000000000001</v>
      </c>
      <c r="C24" s="8">
        <f>CHOOSE( CONTROL!$C$29, 2.9042, 2.9) * CHOOSE(CONTROL!$C$12, $D$11, 100%, $F$11)</f>
        <v>2.9041999999999999</v>
      </c>
      <c r="D24" s="8">
        <f>CHOOSE( CONTROL!$C$29, 2.9147, 2.9105) * CHOOSE( CONTROL!$C$12, $D$11, 100%, $F$11)</f>
        <v>2.9146999999999998</v>
      </c>
      <c r="E24" s="12">
        <f>CHOOSE( CONTROL!$C$29, 2.9098, 2.9056) * CHOOSE( CONTROL!$C$12, $D$11, 100%, $F$11)</f>
        <v>2.9098000000000002</v>
      </c>
      <c r="F24" s="4">
        <f>CHOOSE( CONTROL!$C$29, 3.9323, 3.9281) * CHOOSE(CONTROL!$C$12, $D$11, 100%, $F$11)</f>
        <v>3.9323000000000001</v>
      </c>
      <c r="G24" s="8">
        <f>CHOOSE( CONTROL!$C$29, 2.8271, 2.823) * CHOOSE( CONTROL!$C$12, $D$11, 100%, $F$11)</f>
        <v>2.8271000000000002</v>
      </c>
      <c r="H24" s="4">
        <f>CHOOSE( CONTROL!$C$29, 3.7569, 3.7528) * CHOOSE(CONTROL!$C$12, $D$11, 100%, $F$11)</f>
        <v>3.7568999999999999</v>
      </c>
      <c r="I24" s="8"/>
      <c r="J24" s="4">
        <f>CHOOSE( CONTROL!$C$29, 2.7681, 2.764) * CHOOSE(CONTROL!$C$12, $D$11, 100%, $F$11)</f>
        <v>2.7681</v>
      </c>
      <c r="K24" s="4"/>
      <c r="L24" s="9">
        <v>34.542499999999997</v>
      </c>
      <c r="M24" s="9">
        <v>12.063700000000001</v>
      </c>
      <c r="N24" s="9">
        <v>4.9444999999999997</v>
      </c>
      <c r="O24" s="9">
        <v>0.37459999999999999</v>
      </c>
      <c r="P24" s="9">
        <v>1.3714999999999999</v>
      </c>
      <c r="Q24" s="9"/>
      <c r="R24" s="9">
        <f t="shared" si="0"/>
        <v>0.4</v>
      </c>
      <c r="S24" s="11"/>
    </row>
    <row r="25" spans="1:19" ht="15" customHeight="1">
      <c r="A25" s="13">
        <v>42614</v>
      </c>
      <c r="B25" s="8">
        <f>CHOOSE( CONTROL!$C$29, 2.8875, 2.8833) * CHOOSE(CONTROL!$C$12, $D$11, 100%, $F$11)</f>
        <v>2.8875000000000002</v>
      </c>
      <c r="C25" s="8">
        <f>CHOOSE( CONTROL!$C$29, 2.898, 2.8937) * CHOOSE(CONTROL!$C$12, $D$11, 100%, $F$11)</f>
        <v>2.8980000000000001</v>
      </c>
      <c r="D25" s="8">
        <f>CHOOSE( CONTROL!$C$29, 2.9084, 2.9042) * CHOOSE( CONTROL!$C$12, $D$11, 100%, $F$11)</f>
        <v>2.9083999999999999</v>
      </c>
      <c r="E25" s="12">
        <f>CHOOSE( CONTROL!$C$29, 2.9035, 2.8993) * CHOOSE( CONTROL!$C$12, $D$11, 100%, $F$11)</f>
        <v>2.9035000000000002</v>
      </c>
      <c r="F25" s="4">
        <f>CHOOSE( CONTROL!$C$29, 3.9261, 3.9218) * CHOOSE(CONTROL!$C$12, $D$11, 100%, $F$11)</f>
        <v>3.9260999999999999</v>
      </c>
      <c r="G25" s="8">
        <f>CHOOSE( CONTROL!$C$29, 2.8207, 2.8166) * CHOOSE( CONTROL!$C$12, $D$11, 100%, $F$11)</f>
        <v>2.8207</v>
      </c>
      <c r="H25" s="4">
        <f>CHOOSE( CONTROL!$C$29, 3.7508, 3.7467) * CHOOSE(CONTROL!$C$12, $D$11, 100%, $F$11)</f>
        <v>3.7507999999999999</v>
      </c>
      <c r="I25" s="8"/>
      <c r="J25" s="4">
        <f>CHOOSE( CONTROL!$C$29, 2.7621, 2.758) * CHOOSE(CONTROL!$C$12, $D$11, 100%, $F$11)</f>
        <v>2.7621000000000002</v>
      </c>
      <c r="K25" s="4"/>
      <c r="L25" s="9">
        <v>33.428199999999997</v>
      </c>
      <c r="M25" s="9">
        <v>11.6745</v>
      </c>
      <c r="N25" s="9">
        <v>4.7850000000000001</v>
      </c>
      <c r="O25" s="9">
        <v>0.36249999999999999</v>
      </c>
      <c r="P25" s="9">
        <v>1.3272999999999999</v>
      </c>
      <c r="Q25" s="9"/>
      <c r="R25" s="9">
        <f t="shared" si="0"/>
        <v>0.4</v>
      </c>
      <c r="S25" s="11"/>
    </row>
    <row r="26" spans="1:19" ht="15" customHeight="1">
      <c r="A26" s="13">
        <v>42644</v>
      </c>
      <c r="B26" s="8">
        <f>2.9292 * CHOOSE(CONTROL!$C$12, $D$11, 100%, $F$11)</f>
        <v>2.9291999999999998</v>
      </c>
      <c r="C26" s="8">
        <f>2.9396 * CHOOSE(CONTROL!$C$12, $D$11, 100%, $F$11)</f>
        <v>2.9396</v>
      </c>
      <c r="D26" s="8">
        <f>2.9348 * CHOOSE( CONTROL!$C$12, $D$11, 100%, $F$11)</f>
        <v>2.9348000000000001</v>
      </c>
      <c r="E26" s="12">
        <f>2.9352 * CHOOSE( CONTROL!$C$12, $D$11, 100%, $F$11)</f>
        <v>2.9352</v>
      </c>
      <c r="F26" s="4">
        <f>3.9365 * CHOOSE(CONTROL!$C$12, $D$11, 100%, $F$11)</f>
        <v>3.9365000000000001</v>
      </c>
      <c r="G26" s="8">
        <f>2.8516 * CHOOSE( CONTROL!$C$12, $D$11, 100%, $F$11)</f>
        <v>2.8515999999999999</v>
      </c>
      <c r="H26" s="4">
        <f>3.7609 * CHOOSE(CONTROL!$C$12, $D$11, 100%, $F$11)</f>
        <v>3.7608999999999999</v>
      </c>
      <c r="I26" s="8"/>
      <c r="J26" s="4">
        <f>2.802 * CHOOSE(CONTROL!$C$12, $D$11, 100%, $F$11)</f>
        <v>2.802</v>
      </c>
      <c r="K26" s="4"/>
      <c r="L26" s="9">
        <v>34.3003</v>
      </c>
      <c r="M26" s="9">
        <v>12.063700000000001</v>
      </c>
      <c r="N26" s="9">
        <v>4.9444999999999997</v>
      </c>
      <c r="O26" s="9">
        <v>0.37459999999999999</v>
      </c>
      <c r="P26" s="9">
        <v>1.3714999999999999</v>
      </c>
      <c r="Q26" s="9"/>
      <c r="R26" s="9">
        <f t="shared" si="0"/>
        <v>0.4</v>
      </c>
      <c r="S26" s="11"/>
    </row>
    <row r="27" spans="1:19" ht="15" customHeight="1">
      <c r="A27" s="13">
        <v>42675</v>
      </c>
      <c r="B27" s="8">
        <f>3.0889 * CHOOSE(CONTROL!$C$12, $D$11, 100%, $F$11)</f>
        <v>3.0889000000000002</v>
      </c>
      <c r="C27" s="8">
        <f>3.0993 * CHOOSE(CONTROL!$C$12, $D$11, 100%, $F$11)</f>
        <v>3.0992999999999999</v>
      </c>
      <c r="D27" s="8">
        <f>3.0817 * CHOOSE( CONTROL!$C$12, $D$11, 100%, $F$11)</f>
        <v>3.0817000000000001</v>
      </c>
      <c r="E27" s="12">
        <f>3.087 * CHOOSE( CONTROL!$C$12, $D$11, 100%, $F$11)</f>
        <v>3.0870000000000002</v>
      </c>
      <c r="F27" s="4">
        <f>4.0831 * CHOOSE(CONTROL!$C$12, $D$11, 100%, $F$11)</f>
        <v>4.0831</v>
      </c>
      <c r="G27" s="8">
        <f>3.0197 * CHOOSE( CONTROL!$C$12, $D$11, 100%, $F$11)</f>
        <v>3.0196999999999998</v>
      </c>
      <c r="H27" s="4">
        <f>3.9038 * CHOOSE(CONTROL!$C$12, $D$11, 100%, $F$11)</f>
        <v>3.9037999999999999</v>
      </c>
      <c r="I27" s="8"/>
      <c r="J27" s="4">
        <f>2.955 * CHOOSE(CONTROL!$C$12, $D$11, 100%, $F$11)</f>
        <v>2.9550000000000001</v>
      </c>
      <c r="K27" s="4"/>
      <c r="L27" s="9">
        <v>28.000499999999999</v>
      </c>
      <c r="M27" s="9">
        <v>11.6745</v>
      </c>
      <c r="N27" s="9">
        <v>4.7850000000000001</v>
      </c>
      <c r="O27" s="9">
        <v>0.36249999999999999</v>
      </c>
      <c r="P27" s="9">
        <v>1.2522</v>
      </c>
      <c r="Q27" s="9"/>
      <c r="R27" s="9">
        <f t="shared" si="0"/>
        <v>0.4</v>
      </c>
      <c r="S27" s="11"/>
    </row>
    <row r="28" spans="1:19" ht="15" customHeight="1">
      <c r="A28" s="13">
        <v>42705</v>
      </c>
      <c r="B28" s="8">
        <f>3.3508 * CHOOSE(CONTROL!$C$12, $D$11, 100%, $F$11)</f>
        <v>3.3508</v>
      </c>
      <c r="C28" s="8">
        <f>3.3613 * CHOOSE(CONTROL!$C$12, $D$11, 100%, $F$11)</f>
        <v>3.3613</v>
      </c>
      <c r="D28" s="8">
        <f>3.3457 * CHOOSE( CONTROL!$C$12, $D$11, 100%, $F$11)</f>
        <v>3.3456999999999999</v>
      </c>
      <c r="E28" s="12">
        <f>3.3503 * CHOOSE( CONTROL!$C$12, $D$11, 100%, $F$11)</f>
        <v>3.3502999999999998</v>
      </c>
      <c r="F28" s="4">
        <f>4.345 * CHOOSE(CONTROL!$C$12, $D$11, 100%, $F$11)</f>
        <v>4.3449999999999998</v>
      </c>
      <c r="G28" s="8">
        <f>3.2766 * CHOOSE( CONTROL!$C$12, $D$11, 100%, $F$11)</f>
        <v>3.2766000000000002</v>
      </c>
      <c r="H28" s="4">
        <f>4.1592 * CHOOSE(CONTROL!$C$12, $D$11, 100%, $F$11)</f>
        <v>4.1592000000000002</v>
      </c>
      <c r="I28" s="8"/>
      <c r="J28" s="4">
        <f>3.206 * CHOOSE(CONTROL!$C$12, $D$11, 100%, $F$11)</f>
        <v>3.206</v>
      </c>
      <c r="K28" s="4"/>
      <c r="L28" s="9">
        <v>28.933900000000001</v>
      </c>
      <c r="M28" s="9">
        <v>12.063700000000001</v>
      </c>
      <c r="N28" s="9">
        <v>4.9444999999999997</v>
      </c>
      <c r="O28" s="9">
        <v>0.37459999999999999</v>
      </c>
      <c r="P28" s="9">
        <v>1.2939000000000001</v>
      </c>
      <c r="Q28" s="9"/>
      <c r="R28" s="9">
        <f t="shared" si="0"/>
        <v>0.4</v>
      </c>
      <c r="S28" s="11"/>
    </row>
    <row r="29" spans="1:19" ht="15" customHeight="1">
      <c r="A29" s="13">
        <v>42736</v>
      </c>
      <c r="B29" s="8">
        <f>3.4917 * CHOOSE(CONTROL!$C$12, $D$11, 100%, $F$11)</f>
        <v>3.4916999999999998</v>
      </c>
      <c r="C29" s="8">
        <f>3.5021 * CHOOSE(CONTROL!$C$12, $D$11, 100%, $F$11)</f>
        <v>3.5021</v>
      </c>
      <c r="D29" s="8">
        <f>3.4998 * CHOOSE( CONTROL!$C$12, $D$11, 100%, $F$11)</f>
        <v>3.4998</v>
      </c>
      <c r="E29" s="12">
        <f>3.4995 * CHOOSE( CONTROL!$C$12, $D$11, 100%, $F$11)</f>
        <v>3.4994999999999998</v>
      </c>
      <c r="F29" s="4">
        <f>4.5146 * CHOOSE(CONTROL!$C$12, $D$11, 100%, $F$11)</f>
        <v>4.5145999999999997</v>
      </c>
      <c r="G29" s="8">
        <f>3.4311 * CHOOSE( CONTROL!$C$12, $D$11, 100%, $F$11)</f>
        <v>3.4310999999999998</v>
      </c>
      <c r="H29" s="4">
        <f>4.3245 * CHOOSE(CONTROL!$C$12, $D$11, 100%, $F$11)</f>
        <v>4.3244999999999996</v>
      </c>
      <c r="I29" s="8"/>
      <c r="J29" s="4">
        <f>3.341 * CHOOSE(CONTROL!$C$12, $D$11, 100%, $F$11)</f>
        <v>3.3410000000000002</v>
      </c>
      <c r="K29" s="4"/>
      <c r="L29" s="9">
        <v>28.933900000000001</v>
      </c>
      <c r="M29" s="9">
        <v>12.063700000000001</v>
      </c>
      <c r="N29" s="9">
        <v>4.9444999999999997</v>
      </c>
      <c r="O29" s="9">
        <v>0.37459999999999999</v>
      </c>
      <c r="P29" s="9">
        <v>1.2939000000000001</v>
      </c>
      <c r="Q29" s="9"/>
      <c r="R29" s="9">
        <f t="shared" si="0"/>
        <v>0.4</v>
      </c>
      <c r="S29" s="11"/>
    </row>
    <row r="30" spans="1:19" ht="15" customHeight="1">
      <c r="A30" s="13">
        <v>42767</v>
      </c>
      <c r="B30" s="8">
        <f>3.4823 * CHOOSE(CONTROL!$C$12, $D$11, 100%, $F$11)</f>
        <v>3.4823</v>
      </c>
      <c r="C30" s="8">
        <f>3.4928 * CHOOSE(CONTROL!$C$12, $D$11, 100%, $F$11)</f>
        <v>3.4927999999999999</v>
      </c>
      <c r="D30" s="8">
        <f>3.4927 * CHOOSE( CONTROL!$C$12, $D$11, 100%, $F$11)</f>
        <v>3.4927000000000001</v>
      </c>
      <c r="E30" s="12">
        <f>3.4916 * CHOOSE( CONTROL!$C$12, $D$11, 100%, $F$11)</f>
        <v>3.4916</v>
      </c>
      <c r="F30" s="4">
        <f>4.4974 * CHOOSE(CONTROL!$C$12, $D$11, 100%, $F$11)</f>
        <v>4.4973999999999998</v>
      </c>
      <c r="G30" s="8">
        <f>3.4218 * CHOOSE( CONTROL!$C$12, $D$11, 100%, $F$11)</f>
        <v>3.4218000000000002</v>
      </c>
      <c r="H30" s="4">
        <f>4.3077 * CHOOSE(CONTROL!$C$12, $D$11, 100%, $F$11)</f>
        <v>4.3076999999999996</v>
      </c>
      <c r="I30" s="8"/>
      <c r="J30" s="4">
        <f>3.332 * CHOOSE(CONTROL!$C$12, $D$11, 100%, $F$11)</f>
        <v>3.3319999999999999</v>
      </c>
      <c r="K30" s="4"/>
      <c r="L30" s="9">
        <v>26.133800000000001</v>
      </c>
      <c r="M30" s="9">
        <v>10.8962</v>
      </c>
      <c r="N30" s="9">
        <v>4.4660000000000002</v>
      </c>
      <c r="O30" s="9">
        <v>0.33829999999999999</v>
      </c>
      <c r="P30" s="9">
        <v>1.1687000000000001</v>
      </c>
      <c r="Q30" s="9"/>
      <c r="R30" s="9">
        <f t="shared" si="0"/>
        <v>0.4</v>
      </c>
      <c r="S30" s="11"/>
    </row>
    <row r="31" spans="1:19" ht="15" customHeight="1">
      <c r="A31" s="13">
        <v>42795</v>
      </c>
      <c r="B31" s="8">
        <f>3.4322 * CHOOSE(CONTROL!$C$12, $D$11, 100%, $F$11)</f>
        <v>3.4321999999999999</v>
      </c>
      <c r="C31" s="8">
        <f>3.4427 * CHOOSE(CONTROL!$C$12, $D$11, 100%, $F$11)</f>
        <v>3.4426999999999999</v>
      </c>
      <c r="D31" s="8">
        <f>3.4225 * CHOOSE( CONTROL!$C$12, $D$11, 100%, $F$11)</f>
        <v>3.4224999999999999</v>
      </c>
      <c r="E31" s="12">
        <f>3.4288 * CHOOSE( CONTROL!$C$12, $D$11, 100%, $F$11)</f>
        <v>3.4287999999999998</v>
      </c>
      <c r="F31" s="4">
        <f>4.4311 * CHOOSE(CONTROL!$C$12, $D$11, 100%, $F$11)</f>
        <v>4.4310999999999998</v>
      </c>
      <c r="G31" s="8">
        <f>3.3525 * CHOOSE( CONTROL!$C$12, $D$11, 100%, $F$11)</f>
        <v>3.3525</v>
      </c>
      <c r="H31" s="4">
        <f>4.2431 * CHOOSE(CONTROL!$C$12, $D$11, 100%, $F$11)</f>
        <v>4.2431000000000001</v>
      </c>
      <c r="I31" s="8"/>
      <c r="J31" s="4">
        <f>3.284 * CHOOSE(CONTROL!$C$12, $D$11, 100%, $F$11)</f>
        <v>3.2839999999999998</v>
      </c>
      <c r="K31" s="4"/>
      <c r="L31" s="9">
        <v>28.933900000000001</v>
      </c>
      <c r="M31" s="9">
        <v>12.063700000000001</v>
      </c>
      <c r="N31" s="9">
        <v>4.9444999999999997</v>
      </c>
      <c r="O31" s="9">
        <v>0.37459999999999999</v>
      </c>
      <c r="P31" s="9">
        <v>1.2939000000000001</v>
      </c>
      <c r="Q31" s="9"/>
      <c r="R31" s="9">
        <f t="shared" si="0"/>
        <v>0.4</v>
      </c>
      <c r="S31" s="11"/>
    </row>
    <row r="32" spans="1:19" ht="15" customHeight="1">
      <c r="A32" s="13">
        <v>42826</v>
      </c>
      <c r="B32" s="8">
        <f>3.1807 * CHOOSE(CONTROL!$C$12, $D$11, 100%, $F$11)</f>
        <v>3.1806999999999999</v>
      </c>
      <c r="C32" s="8">
        <f>3.1911 * CHOOSE(CONTROL!$C$12, $D$11, 100%, $F$11)</f>
        <v>3.1911</v>
      </c>
      <c r="D32" s="8">
        <f>3.1801 * CHOOSE( CONTROL!$C$12, $D$11, 100%, $F$11)</f>
        <v>3.1800999999999999</v>
      </c>
      <c r="E32" s="12">
        <f>3.1825 * CHOOSE( CONTROL!$C$12, $D$11, 100%, $F$11)</f>
        <v>3.1825000000000001</v>
      </c>
      <c r="F32" s="4">
        <f>4.188 * CHOOSE(CONTROL!$C$12, $D$11, 100%, $F$11)</f>
        <v>4.1879999999999997</v>
      </c>
      <c r="G32" s="8">
        <f>3.0952 * CHOOSE( CONTROL!$C$12, $D$11, 100%, $F$11)</f>
        <v>3.0952000000000002</v>
      </c>
      <c r="H32" s="4">
        <f>4.0061 * CHOOSE(CONTROL!$C$12, $D$11, 100%, $F$11)</f>
        <v>4.0061</v>
      </c>
      <c r="I32" s="8"/>
      <c r="J32" s="4">
        <f>3.043 * CHOOSE(CONTROL!$C$12, $D$11, 100%, $F$11)</f>
        <v>3.0430000000000001</v>
      </c>
      <c r="K32" s="4"/>
      <c r="L32" s="9">
        <v>29.665800000000001</v>
      </c>
      <c r="M32" s="9">
        <v>11.6745</v>
      </c>
      <c r="N32" s="9">
        <v>4.7850000000000001</v>
      </c>
      <c r="O32" s="9">
        <v>0.36249999999999999</v>
      </c>
      <c r="P32" s="9">
        <v>2.0352000000000001</v>
      </c>
      <c r="Q32" s="9"/>
      <c r="R32" s="9">
        <f t="shared" si="0"/>
        <v>0.4</v>
      </c>
      <c r="S32" s="11"/>
    </row>
    <row r="33" spans="1:19" ht="15" customHeight="1">
      <c r="A33" s="13">
        <v>42856</v>
      </c>
      <c r="B33" s="8">
        <f>CHOOSE( CONTROL!$C$29, 3.1599, 3.1557) * CHOOSE(CONTROL!$C$12, $D$11, 100%, $F$11)</f>
        <v>3.1598999999999999</v>
      </c>
      <c r="C33" s="8">
        <f>CHOOSE( CONTROL!$C$29, 3.1703, 3.1661) * CHOOSE(CONTROL!$C$12, $D$11, 100%, $F$11)</f>
        <v>3.1703000000000001</v>
      </c>
      <c r="D33" s="8">
        <f>CHOOSE( CONTROL!$C$29, 3.1376, 3.1334) * CHOOSE( CONTROL!$C$12, $D$11, 100%, $F$11)</f>
        <v>3.1375999999999999</v>
      </c>
      <c r="E33" s="12">
        <f>CHOOSE( CONTROL!$C$29, 3.1479, 3.1437) * CHOOSE( CONTROL!$C$12, $D$11, 100%, $F$11)</f>
        <v>3.1478999999999999</v>
      </c>
      <c r="F33" s="4">
        <f>CHOOSE( CONTROL!$C$29, 4.1348, 4.1306) * CHOOSE(CONTROL!$C$12, $D$11, 100%, $F$11)</f>
        <v>4.1348000000000003</v>
      </c>
      <c r="G33" s="8">
        <f>CHOOSE( CONTROL!$C$29, 3.0561, 3.052) * CHOOSE( CONTROL!$C$12, $D$11, 100%, $F$11)</f>
        <v>3.0560999999999998</v>
      </c>
      <c r="H33" s="4">
        <f>CHOOSE( CONTROL!$C$29, 3.9542, 3.9501) * CHOOSE(CONTROL!$C$12, $D$11, 100%, $F$11)</f>
        <v>3.9542000000000002</v>
      </c>
      <c r="I33" s="8">
        <f>CHOOSE( CONTROL!$C$29, 3.0513, 3.0472) * CHOOSE(CONTROL!$C$12, $D$11, 100%, $F$11)</f>
        <v>3.0512999999999999</v>
      </c>
      <c r="J33" s="4">
        <f>CHOOSE( CONTROL!$C$29, 3.0231, 3.019) * CHOOSE(CONTROL!$C$12, $D$11, 100%, $F$11)</f>
        <v>3.0230999999999999</v>
      </c>
      <c r="K33" s="4"/>
      <c r="L33" s="9">
        <v>30.896899999999999</v>
      </c>
      <c r="M33" s="9">
        <v>12.063700000000001</v>
      </c>
      <c r="N33" s="9">
        <v>4.9444999999999997</v>
      </c>
      <c r="O33" s="9">
        <v>0.37459999999999999</v>
      </c>
      <c r="P33" s="9">
        <v>2.1030000000000002</v>
      </c>
      <c r="Q33" s="9">
        <v>25.076499999999999</v>
      </c>
      <c r="R33" s="9"/>
      <c r="S33" s="11"/>
    </row>
    <row r="34" spans="1:19" ht="15" customHeight="1">
      <c r="A34" s="13">
        <v>42887</v>
      </c>
      <c r="B34" s="8">
        <f>CHOOSE( CONTROL!$C$29, 3.1933, 3.1891) * CHOOSE(CONTROL!$C$12, $D$11, 100%, $F$11)</f>
        <v>3.1932999999999998</v>
      </c>
      <c r="C34" s="8">
        <f>CHOOSE( CONTROL!$C$29, 3.2037, 3.1995) * CHOOSE(CONTROL!$C$12, $D$11, 100%, $F$11)</f>
        <v>3.2037</v>
      </c>
      <c r="D34" s="8">
        <f>CHOOSE( CONTROL!$C$29, 3.1674, 3.1632) * CHOOSE( CONTROL!$C$12, $D$11, 100%, $F$11)</f>
        <v>3.1674000000000002</v>
      </c>
      <c r="E34" s="12">
        <f>CHOOSE( CONTROL!$C$29, 3.179, 3.1748) * CHOOSE( CONTROL!$C$12, $D$11, 100%, $F$11)</f>
        <v>3.1789999999999998</v>
      </c>
      <c r="F34" s="4">
        <f>CHOOSE( CONTROL!$C$29, 4.1578, 4.1535) * CHOOSE(CONTROL!$C$12, $D$11, 100%, $F$11)</f>
        <v>4.1577999999999999</v>
      </c>
      <c r="G34" s="8">
        <f>CHOOSE( CONTROL!$C$29, 3.0874, 3.0833) * CHOOSE( CONTROL!$C$12, $D$11, 100%, $F$11)</f>
        <v>3.0874000000000001</v>
      </c>
      <c r="H34" s="4">
        <f>CHOOSE( CONTROL!$C$29, 3.9766, 3.9725) * CHOOSE(CONTROL!$C$12, $D$11, 100%, $F$11)</f>
        <v>3.9765999999999999</v>
      </c>
      <c r="I34" s="8">
        <f>CHOOSE( CONTROL!$C$29, 3.0855, 3.0814) * CHOOSE(CONTROL!$C$12, $D$11, 100%, $F$11)</f>
        <v>3.0855000000000001</v>
      </c>
      <c r="J34" s="4">
        <f>CHOOSE( CONTROL!$C$29, 3.0551, 3.051) * CHOOSE(CONTROL!$C$12, $D$11, 100%, $F$11)</f>
        <v>3.0550999999999999</v>
      </c>
      <c r="K34" s="4"/>
      <c r="L34" s="9">
        <v>29.900200000000002</v>
      </c>
      <c r="M34" s="9">
        <v>11.6745</v>
      </c>
      <c r="N34" s="9">
        <v>4.7850000000000001</v>
      </c>
      <c r="O34" s="9">
        <v>0.36249999999999999</v>
      </c>
      <c r="P34" s="9">
        <v>2.0352000000000001</v>
      </c>
      <c r="Q34" s="9">
        <v>24.267600000000002</v>
      </c>
      <c r="R34" s="9"/>
      <c r="S34" s="11"/>
    </row>
    <row r="35" spans="1:19" ht="15" customHeight="1">
      <c r="A35" s="13">
        <v>42917</v>
      </c>
      <c r="B35" s="8">
        <f>CHOOSE( CONTROL!$C$29, 3.2257, 3.2214) * CHOOSE(CONTROL!$C$12, $D$11, 100%, $F$11)</f>
        <v>3.2256999999999998</v>
      </c>
      <c r="C35" s="8">
        <f>CHOOSE( CONTROL!$C$29, 3.2361, 3.2318) * CHOOSE(CONTROL!$C$12, $D$11, 100%, $F$11)</f>
        <v>3.2361</v>
      </c>
      <c r="D35" s="8">
        <f>CHOOSE( CONTROL!$C$29, 3.2289, 3.2247) * CHOOSE( CONTROL!$C$12, $D$11, 100%, $F$11)</f>
        <v>3.2288999999999999</v>
      </c>
      <c r="E35" s="12">
        <f>CHOOSE( CONTROL!$C$29, 3.2299, 3.2257) * CHOOSE( CONTROL!$C$12, $D$11, 100%, $F$11)</f>
        <v>3.2299000000000002</v>
      </c>
      <c r="F35" s="4">
        <f>CHOOSE( CONTROL!$C$29, 4.2355, 4.2313) * CHOOSE(CONTROL!$C$12, $D$11, 100%, $F$11)</f>
        <v>4.2355</v>
      </c>
      <c r="G35" s="8">
        <f>CHOOSE( CONTROL!$C$29, 3.145, 3.1409) * CHOOSE( CONTROL!$C$12, $D$11, 100%, $F$11)</f>
        <v>3.145</v>
      </c>
      <c r="H35" s="4">
        <f>CHOOSE( CONTROL!$C$29, 4.0524, 4.0483) * CHOOSE(CONTROL!$C$12, $D$11, 100%, $F$11)</f>
        <v>4.0523999999999996</v>
      </c>
      <c r="I35" s="8">
        <f>CHOOSE( CONTROL!$C$29, 3.1718, 3.1677) * CHOOSE(CONTROL!$C$12, $D$11, 100%, $F$11)</f>
        <v>3.1718000000000002</v>
      </c>
      <c r="J35" s="4">
        <f>CHOOSE( CONTROL!$C$29, 3.0861, 3.082) * CHOOSE(CONTROL!$C$12, $D$11, 100%, $F$11)</f>
        <v>3.0861000000000001</v>
      </c>
      <c r="K35" s="4"/>
      <c r="L35" s="9">
        <v>30.896899999999999</v>
      </c>
      <c r="M35" s="9">
        <v>12.063700000000001</v>
      </c>
      <c r="N35" s="9">
        <v>4.9444999999999997</v>
      </c>
      <c r="O35" s="9">
        <v>0.37459999999999999</v>
      </c>
      <c r="P35" s="9">
        <v>2.1030000000000002</v>
      </c>
      <c r="Q35" s="9">
        <v>25.076499999999999</v>
      </c>
      <c r="R35" s="9"/>
      <c r="S35" s="11"/>
    </row>
    <row r="36" spans="1:19" ht="15" customHeight="1">
      <c r="A36" s="13">
        <v>42948</v>
      </c>
      <c r="B36" s="8">
        <f>CHOOSE( CONTROL!$C$29, 3.2371, 3.2329) * CHOOSE(CONTROL!$C$12, $D$11, 100%, $F$11)</f>
        <v>3.2370999999999999</v>
      </c>
      <c r="C36" s="8">
        <f>CHOOSE( CONTROL!$C$29, 3.2476, 3.2433) * CHOOSE(CONTROL!$C$12, $D$11, 100%, $F$11)</f>
        <v>3.2475999999999998</v>
      </c>
      <c r="D36" s="8">
        <f>CHOOSE( CONTROL!$C$29, 3.2519, 3.2476) * CHOOSE( CONTROL!$C$12, $D$11, 100%, $F$11)</f>
        <v>3.2519</v>
      </c>
      <c r="E36" s="12">
        <f>CHOOSE( CONTROL!$C$29, 3.2487, 3.2445) * CHOOSE( CONTROL!$C$12, $D$11, 100%, $F$11)</f>
        <v>3.2486999999999999</v>
      </c>
      <c r="F36" s="4">
        <f>CHOOSE( CONTROL!$C$29, 4.2757, 4.2715) * CHOOSE(CONTROL!$C$12, $D$11, 100%, $F$11)</f>
        <v>4.2756999999999996</v>
      </c>
      <c r="G36" s="8">
        <f>CHOOSE( CONTROL!$C$29, 3.1618, 3.1577) * CHOOSE( CONTROL!$C$12, $D$11, 100%, $F$11)</f>
        <v>3.1617999999999999</v>
      </c>
      <c r="H36" s="4">
        <f>CHOOSE( CONTROL!$C$29, 4.0916, 4.0874) * CHOOSE(CONTROL!$C$12, $D$11, 100%, $F$11)</f>
        <v>4.0915999999999997</v>
      </c>
      <c r="I36" s="8">
        <f>CHOOSE( CONTROL!$C$29, 3.1742, 3.1702) * CHOOSE(CONTROL!$C$12, $D$11, 100%, $F$11)</f>
        <v>3.1741999999999999</v>
      </c>
      <c r="J36" s="4">
        <f>CHOOSE( CONTROL!$C$29, 3.0971, 3.093) * CHOOSE(CONTROL!$C$12, $D$11, 100%, $F$11)</f>
        <v>3.0971000000000002</v>
      </c>
      <c r="K36" s="4"/>
      <c r="L36" s="9">
        <v>30.896899999999999</v>
      </c>
      <c r="M36" s="9">
        <v>12.063700000000001</v>
      </c>
      <c r="N36" s="9">
        <v>4.9444999999999997</v>
      </c>
      <c r="O36" s="9">
        <v>0.37459999999999999</v>
      </c>
      <c r="P36" s="9">
        <v>2.1030000000000002</v>
      </c>
      <c r="Q36" s="9">
        <v>25.076499999999999</v>
      </c>
      <c r="R36" s="9"/>
      <c r="S36" s="11"/>
    </row>
    <row r="37" spans="1:19" ht="15" customHeight="1">
      <c r="A37" s="13">
        <v>42979</v>
      </c>
      <c r="B37" s="8">
        <f>CHOOSE( CONTROL!$C$29, 3.2183, 3.2141) * CHOOSE(CONTROL!$C$12, $D$11, 100%, $F$11)</f>
        <v>3.2183000000000002</v>
      </c>
      <c r="C37" s="8">
        <f>CHOOSE( CONTROL!$C$29, 3.2288, 3.2245) * CHOOSE(CONTROL!$C$12, $D$11, 100%, $F$11)</f>
        <v>3.2288000000000001</v>
      </c>
      <c r="D37" s="8">
        <f>CHOOSE( CONTROL!$C$29, 3.233, 3.2288) * CHOOSE( CONTROL!$C$12, $D$11, 100%, $F$11)</f>
        <v>3.2330000000000001</v>
      </c>
      <c r="E37" s="12">
        <f>CHOOSE( CONTROL!$C$29, 3.2299, 3.2257) * CHOOSE( CONTROL!$C$12, $D$11, 100%, $F$11)</f>
        <v>3.2299000000000002</v>
      </c>
      <c r="F37" s="4">
        <f>CHOOSE( CONTROL!$C$29, 4.2569, 4.2527) * CHOOSE(CONTROL!$C$12, $D$11, 100%, $F$11)</f>
        <v>4.2568999999999999</v>
      </c>
      <c r="G37" s="8">
        <f>CHOOSE( CONTROL!$C$29, 3.1432, 3.1391) * CHOOSE( CONTROL!$C$12, $D$11, 100%, $F$11)</f>
        <v>3.1432000000000002</v>
      </c>
      <c r="H37" s="4">
        <f>CHOOSE( CONTROL!$C$29, 4.0733, 4.0691) * CHOOSE(CONTROL!$C$12, $D$11, 100%, $F$11)</f>
        <v>4.0732999999999997</v>
      </c>
      <c r="I37" s="8">
        <f>CHOOSE( CONTROL!$C$29, 3.1545, 3.1504) * CHOOSE(CONTROL!$C$12, $D$11, 100%, $F$11)</f>
        <v>3.1545000000000001</v>
      </c>
      <c r="J37" s="4">
        <f>CHOOSE( CONTROL!$C$29, 3.0791, 3.075) * CHOOSE(CONTROL!$C$12, $D$11, 100%, $F$11)</f>
        <v>3.0790999999999999</v>
      </c>
      <c r="K37" s="4"/>
      <c r="L37" s="9">
        <v>29.900200000000002</v>
      </c>
      <c r="M37" s="9">
        <v>11.6745</v>
      </c>
      <c r="N37" s="9">
        <v>4.7850000000000001</v>
      </c>
      <c r="O37" s="9">
        <v>0.36249999999999999</v>
      </c>
      <c r="P37" s="9">
        <v>2.0352000000000001</v>
      </c>
      <c r="Q37" s="9">
        <v>24.267600000000002</v>
      </c>
      <c r="R37" s="9"/>
      <c r="S37" s="11"/>
    </row>
    <row r="38" spans="1:19" ht="15" customHeight="1">
      <c r="A38" s="13">
        <v>43009</v>
      </c>
      <c r="B38" s="8">
        <f>3.2392 * CHOOSE(CONTROL!$C$12, $D$11, 100%, $F$11)</f>
        <v>3.2391999999999999</v>
      </c>
      <c r="C38" s="8">
        <f>3.2496 * CHOOSE(CONTROL!$C$12, $D$11, 100%, $F$11)</f>
        <v>3.2496</v>
      </c>
      <c r="D38" s="8">
        <f>3.2404 * CHOOSE( CONTROL!$C$12, $D$11, 100%, $F$11)</f>
        <v>3.2404000000000002</v>
      </c>
      <c r="E38" s="12">
        <f>3.2423 * CHOOSE( CONTROL!$C$12, $D$11, 100%, $F$11)</f>
        <v>3.2423000000000002</v>
      </c>
      <c r="F38" s="4">
        <f>4.2464 * CHOOSE(CONTROL!$C$12, $D$11, 100%, $F$11)</f>
        <v>4.2464000000000004</v>
      </c>
      <c r="G38" s="8">
        <f>3.1538 * CHOOSE( CONTROL!$C$12, $D$11, 100%, $F$11)</f>
        <v>3.1537999999999999</v>
      </c>
      <c r="H38" s="4">
        <f>4.063 * CHOOSE(CONTROL!$C$12, $D$11, 100%, $F$11)</f>
        <v>4.0629999999999997</v>
      </c>
      <c r="I38" s="8">
        <f>3.1711 * CHOOSE(CONTROL!$C$12, $D$11, 100%, $F$11)</f>
        <v>3.1711</v>
      </c>
      <c r="J38" s="4">
        <f>3.099 * CHOOSE(CONTROL!$C$12, $D$11, 100%, $F$11)</f>
        <v>3.0990000000000002</v>
      </c>
      <c r="K38" s="4"/>
      <c r="L38" s="9">
        <v>30.654699999999998</v>
      </c>
      <c r="M38" s="9">
        <v>12.063700000000001</v>
      </c>
      <c r="N38" s="9">
        <v>4.9444999999999997</v>
      </c>
      <c r="O38" s="9">
        <v>0.37459999999999999</v>
      </c>
      <c r="P38" s="9">
        <v>2.1030000000000002</v>
      </c>
      <c r="Q38" s="9">
        <v>25.076499999999999</v>
      </c>
      <c r="R38" s="9"/>
      <c r="S38" s="11"/>
    </row>
    <row r="39" spans="1:19" ht="15" customHeight="1">
      <c r="A39" s="13">
        <v>43040</v>
      </c>
      <c r="B39" s="8">
        <f>3.2892 * CHOOSE(CONTROL!$C$12, $D$11, 100%, $F$11)</f>
        <v>3.2892000000000001</v>
      </c>
      <c r="C39" s="8">
        <f>3.2997 * CHOOSE(CONTROL!$C$12, $D$11, 100%, $F$11)</f>
        <v>3.2997000000000001</v>
      </c>
      <c r="D39" s="8">
        <f>3.2821 * CHOOSE( CONTROL!$C$12, $D$11, 100%, $F$11)</f>
        <v>3.2820999999999998</v>
      </c>
      <c r="E39" s="12">
        <f>3.2874 * CHOOSE( CONTROL!$C$12, $D$11, 100%, $F$11)</f>
        <v>3.2873999999999999</v>
      </c>
      <c r="F39" s="4">
        <f>4.2835 * CHOOSE(CONTROL!$C$12, $D$11, 100%, $F$11)</f>
        <v>4.2835000000000001</v>
      </c>
      <c r="G39" s="8">
        <f>3.215 * CHOOSE( CONTROL!$C$12, $D$11, 100%, $F$11)</f>
        <v>3.2149999999999999</v>
      </c>
      <c r="H39" s="4">
        <f>4.0991 * CHOOSE(CONTROL!$C$12, $D$11, 100%, $F$11)</f>
        <v>4.0991</v>
      </c>
      <c r="I39" s="8">
        <f>3.2426 * CHOOSE(CONTROL!$C$12, $D$11, 100%, $F$11)</f>
        <v>3.2425999999999999</v>
      </c>
      <c r="J39" s="4">
        <f>3.147 * CHOOSE(CONTROL!$C$12, $D$11, 100%, $F$11)</f>
        <v>3.1469999999999998</v>
      </c>
      <c r="K39" s="4"/>
      <c r="L39" s="9">
        <v>28.000499999999999</v>
      </c>
      <c r="M39" s="9">
        <v>11.6745</v>
      </c>
      <c r="N39" s="9">
        <v>4.7850000000000001</v>
      </c>
      <c r="O39" s="9">
        <v>0.36249999999999999</v>
      </c>
      <c r="P39" s="9">
        <v>1.2522</v>
      </c>
      <c r="Q39" s="9">
        <v>24.267600000000002</v>
      </c>
      <c r="R39" s="9"/>
      <c r="S39" s="11"/>
    </row>
    <row r="40" spans="1:19" ht="15" customHeight="1">
      <c r="A40" s="13">
        <v>43070</v>
      </c>
      <c r="B40" s="8">
        <f>3.4301 * CHOOSE(CONTROL!$C$12, $D$11, 100%, $F$11)</f>
        <v>3.4300999999999999</v>
      </c>
      <c r="C40" s="8">
        <f>3.4406 * CHOOSE(CONTROL!$C$12, $D$11, 100%, $F$11)</f>
        <v>3.4405999999999999</v>
      </c>
      <c r="D40" s="8">
        <f>3.425 * CHOOSE( CONTROL!$C$12, $D$11, 100%, $F$11)</f>
        <v>3.4249999999999998</v>
      </c>
      <c r="E40" s="12">
        <f>3.4296 * CHOOSE( CONTROL!$C$12, $D$11, 100%, $F$11)</f>
        <v>3.4296000000000002</v>
      </c>
      <c r="F40" s="4">
        <f>4.4243 * CHOOSE(CONTROL!$C$12, $D$11, 100%, $F$11)</f>
        <v>4.4242999999999997</v>
      </c>
      <c r="G40" s="8">
        <f>3.3539 * CHOOSE( CONTROL!$C$12, $D$11, 100%, $F$11)</f>
        <v>3.3538999999999999</v>
      </c>
      <c r="H40" s="4">
        <f>4.2365 * CHOOSE(CONTROL!$C$12, $D$11, 100%, $F$11)</f>
        <v>4.2365000000000004</v>
      </c>
      <c r="I40" s="8">
        <f>3.3849 * CHOOSE(CONTROL!$C$12, $D$11, 100%, $F$11)</f>
        <v>3.3849</v>
      </c>
      <c r="J40" s="4">
        <f>3.282 * CHOOSE(CONTROL!$C$12, $D$11, 100%, $F$11)</f>
        <v>3.282</v>
      </c>
      <c r="K40" s="4"/>
      <c r="L40" s="9">
        <v>28.933900000000001</v>
      </c>
      <c r="M40" s="9">
        <v>12.063700000000001</v>
      </c>
      <c r="N40" s="9">
        <v>4.9444999999999997</v>
      </c>
      <c r="O40" s="9">
        <v>0.37459999999999999</v>
      </c>
      <c r="P40" s="9">
        <v>1.2939000000000001</v>
      </c>
      <c r="Q40" s="9">
        <v>25.076499999999999</v>
      </c>
      <c r="R40" s="9"/>
      <c r="S40" s="11"/>
    </row>
    <row r="41" spans="1:19" ht="15" customHeight="1">
      <c r="A41" s="13">
        <v>43101</v>
      </c>
      <c r="B41" s="8">
        <f>3.5345 * CHOOSE(CONTROL!$C$12, $D$11, 100%, $F$11)</f>
        <v>3.5345</v>
      </c>
      <c r="C41" s="8">
        <f>3.5449 * CHOOSE(CONTROL!$C$12, $D$11, 100%, $F$11)</f>
        <v>3.5449000000000002</v>
      </c>
      <c r="D41" s="8">
        <f>3.5426 * CHOOSE( CONTROL!$C$12, $D$11, 100%, $F$11)</f>
        <v>3.5426000000000002</v>
      </c>
      <c r="E41" s="12">
        <f>3.5423 * CHOOSE( CONTROL!$C$12, $D$11, 100%, $F$11)</f>
        <v>3.5423</v>
      </c>
      <c r="F41" s="4">
        <f>4.5574 * CHOOSE(CONTROL!$C$12, $D$11, 100%, $F$11)</f>
        <v>4.5574000000000003</v>
      </c>
      <c r="G41" s="8">
        <f>3.4728 * CHOOSE( CONTROL!$C$12, $D$11, 100%, $F$11)</f>
        <v>3.4727999999999999</v>
      </c>
      <c r="H41" s="4">
        <f>4.3662 * CHOOSE(CONTROL!$C$12, $D$11, 100%, $F$11)</f>
        <v>4.3662000000000001</v>
      </c>
      <c r="I41" s="8">
        <f>3.4923 * CHOOSE(CONTROL!$C$12, $D$11, 100%, $F$11)</f>
        <v>3.4923000000000002</v>
      </c>
      <c r="J41" s="4">
        <f>3.382 * CHOOSE(CONTROL!$C$12, $D$11, 100%, $F$11)</f>
        <v>3.3820000000000001</v>
      </c>
      <c r="K41" s="4"/>
      <c r="L41" s="9">
        <v>28.933900000000001</v>
      </c>
      <c r="M41" s="9">
        <v>12.063700000000001</v>
      </c>
      <c r="N41" s="9">
        <v>4.9444999999999997</v>
      </c>
      <c r="O41" s="9">
        <v>0.37459999999999999</v>
      </c>
      <c r="P41" s="9">
        <v>1.2939000000000001</v>
      </c>
      <c r="Q41" s="9">
        <v>24.901700000000002</v>
      </c>
      <c r="R41" s="9"/>
      <c r="S41" s="11"/>
    </row>
    <row r="42" spans="1:19" ht="15" customHeight="1">
      <c r="A42" s="13">
        <v>43132</v>
      </c>
      <c r="B42" s="8">
        <f>3.4907 * CHOOSE(CONTROL!$C$12, $D$11, 100%, $F$11)</f>
        <v>3.4906999999999999</v>
      </c>
      <c r="C42" s="8">
        <f>3.5011 * CHOOSE(CONTROL!$C$12, $D$11, 100%, $F$11)</f>
        <v>3.5011000000000001</v>
      </c>
      <c r="D42" s="8">
        <f>3.5011 * CHOOSE( CONTROL!$C$12, $D$11, 100%, $F$11)</f>
        <v>3.5011000000000001</v>
      </c>
      <c r="E42" s="12">
        <f>3.5 * CHOOSE( CONTROL!$C$12, $D$11, 100%, $F$11)</f>
        <v>3.5</v>
      </c>
      <c r="F42" s="4">
        <f>4.5057 * CHOOSE(CONTROL!$C$12, $D$11, 100%, $F$11)</f>
        <v>4.5057</v>
      </c>
      <c r="G42" s="8">
        <f>3.4299 * CHOOSE( CONTROL!$C$12, $D$11, 100%, $F$11)</f>
        <v>3.4298999999999999</v>
      </c>
      <c r="H42" s="4">
        <f>4.3158 * CHOOSE(CONTROL!$C$12, $D$11, 100%, $F$11)</f>
        <v>4.3158000000000003</v>
      </c>
      <c r="I42" s="8">
        <f>3.4393 * CHOOSE(CONTROL!$C$12, $D$11, 100%, $F$11)</f>
        <v>3.4392999999999998</v>
      </c>
      <c r="J42" s="4">
        <f>3.34 * CHOOSE(CONTROL!$C$12, $D$11, 100%, $F$11)</f>
        <v>3.34</v>
      </c>
      <c r="K42" s="4"/>
      <c r="L42" s="9">
        <v>26.133800000000001</v>
      </c>
      <c r="M42" s="9">
        <v>10.8962</v>
      </c>
      <c r="N42" s="9">
        <v>4.4660000000000002</v>
      </c>
      <c r="O42" s="9">
        <v>0.33829999999999999</v>
      </c>
      <c r="P42" s="9">
        <v>1.1687000000000001</v>
      </c>
      <c r="Q42" s="9">
        <v>22.491800000000001</v>
      </c>
      <c r="R42" s="9"/>
      <c r="S42" s="11"/>
    </row>
    <row r="43" spans="1:19" ht="15" customHeight="1">
      <c r="A43" s="13">
        <v>43160</v>
      </c>
      <c r="B43" s="8">
        <f>3.4124 * CHOOSE(CONTROL!$C$12, $D$11, 100%, $F$11)</f>
        <v>3.4123999999999999</v>
      </c>
      <c r="C43" s="8">
        <f>3.4228 * CHOOSE(CONTROL!$C$12, $D$11, 100%, $F$11)</f>
        <v>3.4228000000000001</v>
      </c>
      <c r="D43" s="8">
        <f>3.4027 * CHOOSE( CONTROL!$C$12, $D$11, 100%, $F$11)</f>
        <v>3.4026999999999998</v>
      </c>
      <c r="E43" s="12">
        <f>3.4089 * CHOOSE( CONTROL!$C$12, $D$11, 100%, $F$11)</f>
        <v>3.4089</v>
      </c>
      <c r="F43" s="4">
        <f>4.4113 * CHOOSE(CONTROL!$C$12, $D$11, 100%, $F$11)</f>
        <v>4.4112999999999998</v>
      </c>
      <c r="G43" s="8">
        <f>3.3332 * CHOOSE( CONTROL!$C$12, $D$11, 100%, $F$11)</f>
        <v>3.3332000000000002</v>
      </c>
      <c r="H43" s="4">
        <f>4.2238 * CHOOSE(CONTROL!$C$12, $D$11, 100%, $F$11)</f>
        <v>4.2237999999999998</v>
      </c>
      <c r="I43" s="8">
        <f>3.3248 * CHOOSE(CONTROL!$C$12, $D$11, 100%, $F$11)</f>
        <v>3.3248000000000002</v>
      </c>
      <c r="J43" s="4">
        <f>3.265 * CHOOSE(CONTROL!$C$12, $D$11, 100%, $F$11)</f>
        <v>3.2650000000000001</v>
      </c>
      <c r="K43" s="4"/>
      <c r="L43" s="9">
        <v>28.933900000000001</v>
      </c>
      <c r="M43" s="9">
        <v>12.063700000000001</v>
      </c>
      <c r="N43" s="9">
        <v>4.9444999999999997</v>
      </c>
      <c r="O43" s="9">
        <v>0.37459999999999999</v>
      </c>
      <c r="P43" s="9">
        <v>1.2939000000000001</v>
      </c>
      <c r="Q43" s="9">
        <v>24.901700000000002</v>
      </c>
      <c r="R43" s="9"/>
      <c r="S43" s="11"/>
    </row>
    <row r="44" spans="1:19" ht="15" customHeight="1">
      <c r="A44" s="13">
        <v>43191</v>
      </c>
      <c r="B44" s="8">
        <f>3.0075 * CHOOSE(CONTROL!$C$12, $D$11, 100%, $F$11)</f>
        <v>3.0074999999999998</v>
      </c>
      <c r="C44" s="8">
        <f>3.0179 * CHOOSE(CONTROL!$C$12, $D$11, 100%, $F$11)</f>
        <v>3.0179</v>
      </c>
      <c r="D44" s="8">
        <f>3.0211 * CHOOSE( CONTROL!$C$12, $D$11, 100%, $F$11)</f>
        <v>3.0211000000000001</v>
      </c>
      <c r="E44" s="12">
        <f>3.0189 * CHOOSE( CONTROL!$C$12, $D$11, 100%, $F$11)</f>
        <v>3.0188999999999999</v>
      </c>
      <c r="F44" s="4">
        <f>4.0147 * CHOOSE(CONTROL!$C$12, $D$11, 100%, $F$11)</f>
        <v>4.0147000000000004</v>
      </c>
      <c r="G44" s="8">
        <f>2.9263 * CHOOSE( CONTROL!$C$12, $D$11, 100%, $F$11)</f>
        <v>2.9262999999999999</v>
      </c>
      <c r="H44" s="4">
        <f>3.8372 * CHOOSE(CONTROL!$C$12, $D$11, 100%, $F$11)</f>
        <v>3.8372000000000002</v>
      </c>
      <c r="I44" s="8">
        <f>2.9267 * CHOOSE(CONTROL!$C$12, $D$11, 100%, $F$11)</f>
        <v>2.9266999999999999</v>
      </c>
      <c r="J44" s="4">
        <f>2.877 * CHOOSE(CONTROL!$C$12, $D$11, 100%, $F$11)</f>
        <v>2.8769999999999998</v>
      </c>
      <c r="K44" s="4"/>
      <c r="L44" s="9">
        <v>29.665800000000001</v>
      </c>
      <c r="M44" s="9">
        <v>11.6745</v>
      </c>
      <c r="N44" s="9">
        <v>4.7850000000000001</v>
      </c>
      <c r="O44" s="9">
        <v>0.36249999999999999</v>
      </c>
      <c r="P44" s="9">
        <v>1.1798</v>
      </c>
      <c r="Q44" s="9">
        <v>24.098400000000002</v>
      </c>
      <c r="R44" s="9"/>
      <c r="S44" s="11"/>
    </row>
    <row r="45" spans="1:19" ht="15" customHeight="1">
      <c r="A45" s="13">
        <v>43221</v>
      </c>
      <c r="B45" s="8">
        <f>CHOOSE( CONTROL!$C$29, 2.9762, 2.972) * CHOOSE(CONTROL!$C$12, $D$11, 100%, $F$11)</f>
        <v>2.9762</v>
      </c>
      <c r="C45" s="8">
        <f>CHOOSE( CONTROL!$C$29, 2.9867, 2.9824) * CHOOSE(CONTROL!$C$12, $D$11, 100%, $F$11)</f>
        <v>2.9866999999999999</v>
      </c>
      <c r="D45" s="8">
        <f>CHOOSE( CONTROL!$C$29, 2.9646, 2.9603) * CHOOSE( CONTROL!$C$12, $D$11, 100%, $F$11)</f>
        <v>2.9645999999999999</v>
      </c>
      <c r="E45" s="12">
        <f>CHOOSE( CONTROL!$C$29, 2.971, 2.9667) * CHOOSE( CONTROL!$C$12, $D$11, 100%, $F$11)</f>
        <v>2.9710000000000001</v>
      </c>
      <c r="F45" s="4">
        <f>CHOOSE( CONTROL!$C$29, 3.9511, 3.9469) * CHOOSE(CONTROL!$C$12, $D$11, 100%, $F$11)</f>
        <v>3.9510999999999998</v>
      </c>
      <c r="G45" s="8">
        <f>CHOOSE( CONTROL!$C$29, 2.8771, 2.873) * CHOOSE( CONTROL!$C$12, $D$11, 100%, $F$11)</f>
        <v>2.8771</v>
      </c>
      <c r="H45" s="4">
        <f>CHOOSE( CONTROL!$C$29, 3.7752, 3.7711) * CHOOSE(CONTROL!$C$12, $D$11, 100%, $F$11)</f>
        <v>3.7751999999999999</v>
      </c>
      <c r="I45" s="8">
        <f>CHOOSE( CONTROL!$C$29, 2.8752, 2.8711) * CHOOSE(CONTROL!$C$12, $D$11, 100%, $F$11)</f>
        <v>2.8752</v>
      </c>
      <c r="J45" s="4">
        <f>CHOOSE( CONTROL!$C$29, 2.8471, 2.843) * CHOOSE(CONTROL!$C$12, $D$11, 100%, $F$11)</f>
        <v>2.8471000000000002</v>
      </c>
      <c r="K45" s="4"/>
      <c r="L45" s="9">
        <v>30.896899999999999</v>
      </c>
      <c r="M45" s="9">
        <v>12.063700000000001</v>
      </c>
      <c r="N45" s="9">
        <v>4.9444999999999997</v>
      </c>
      <c r="O45" s="9">
        <v>0.37459999999999999</v>
      </c>
      <c r="P45" s="9">
        <v>1.2192000000000001</v>
      </c>
      <c r="Q45" s="9">
        <v>24.901700000000002</v>
      </c>
      <c r="R45" s="9"/>
      <c r="S45" s="11"/>
    </row>
    <row r="46" spans="1:19" ht="15" customHeight="1">
      <c r="A46" s="13">
        <v>43252</v>
      </c>
      <c r="B46" s="8">
        <f>CHOOSE( CONTROL!$C$29, 3.0034, 2.9991) * CHOOSE(CONTROL!$C$12, $D$11, 100%, $F$11)</f>
        <v>3.0034000000000001</v>
      </c>
      <c r="C46" s="8">
        <f>CHOOSE( CONTROL!$C$29, 3.0138, 3.0096) * CHOOSE(CONTROL!$C$12, $D$11, 100%, $F$11)</f>
        <v>3.0137999999999998</v>
      </c>
      <c r="D46" s="8">
        <f>CHOOSE( CONTROL!$C$29, 2.9861, 2.9819) * CHOOSE( CONTROL!$C$12, $D$11, 100%, $F$11)</f>
        <v>2.9861</v>
      </c>
      <c r="E46" s="12">
        <f>CHOOSE( CONTROL!$C$29, 2.9946, 2.9903) * CHOOSE( CONTROL!$C$12, $D$11, 100%, $F$11)</f>
        <v>2.9946000000000002</v>
      </c>
      <c r="F46" s="4">
        <f>CHOOSE( CONTROL!$C$29, 3.9678, 3.9636) * CHOOSE(CONTROL!$C$12, $D$11, 100%, $F$11)</f>
        <v>3.9678</v>
      </c>
      <c r="G46" s="8">
        <f>CHOOSE( CONTROL!$C$29, 2.9023, 2.8982) * CHOOSE( CONTROL!$C$12, $D$11, 100%, $F$11)</f>
        <v>2.9022999999999999</v>
      </c>
      <c r="H46" s="4">
        <f>CHOOSE( CONTROL!$C$29, 3.7915, 3.7873) * CHOOSE(CONTROL!$C$12, $D$11, 100%, $F$11)</f>
        <v>3.7915000000000001</v>
      </c>
      <c r="I46" s="8">
        <f>CHOOSE( CONTROL!$C$29, 2.9034, 2.8993) * CHOOSE(CONTROL!$C$12, $D$11, 100%, $F$11)</f>
        <v>2.9034</v>
      </c>
      <c r="J46" s="4">
        <f>CHOOSE( CONTROL!$C$29, 2.8731, 2.869) * CHOOSE(CONTROL!$C$12, $D$11, 100%, $F$11)</f>
        <v>2.8731</v>
      </c>
      <c r="K46" s="4"/>
      <c r="L46" s="9">
        <v>29.900200000000002</v>
      </c>
      <c r="M46" s="9">
        <v>11.6745</v>
      </c>
      <c r="N46" s="9">
        <v>4.7850000000000001</v>
      </c>
      <c r="O46" s="9">
        <v>0.36249999999999999</v>
      </c>
      <c r="P46" s="9">
        <v>1.1798</v>
      </c>
      <c r="Q46" s="9">
        <v>24.098400000000002</v>
      </c>
      <c r="R46" s="9"/>
      <c r="S46" s="11"/>
    </row>
    <row r="47" spans="1:19" ht="15" customHeight="1">
      <c r="A47" s="13">
        <v>43282</v>
      </c>
      <c r="B47" s="8">
        <f>CHOOSE( CONTROL!$C$29, 3.0357, 3.0315) * CHOOSE(CONTROL!$C$12, $D$11, 100%, $F$11)</f>
        <v>3.0356999999999998</v>
      </c>
      <c r="C47" s="8">
        <f>CHOOSE( CONTROL!$C$29, 3.0462, 3.0419) * CHOOSE(CONTROL!$C$12, $D$11, 100%, $F$11)</f>
        <v>3.0461999999999998</v>
      </c>
      <c r="D47" s="8">
        <f>CHOOSE( CONTROL!$C$29, 3.0523, 3.048) * CHOOSE( CONTROL!$C$12, $D$11, 100%, $F$11)</f>
        <v>3.0522999999999998</v>
      </c>
      <c r="E47" s="12">
        <f>CHOOSE( CONTROL!$C$29, 3.0485, 3.0442) * CHOOSE( CONTROL!$C$12, $D$11, 100%, $F$11)</f>
        <v>3.0485000000000002</v>
      </c>
      <c r="F47" s="4">
        <f>CHOOSE( CONTROL!$C$29, 4.0456, 4.0413) * CHOOSE(CONTROL!$C$12, $D$11, 100%, $F$11)</f>
        <v>4.0456000000000003</v>
      </c>
      <c r="G47" s="8">
        <f>CHOOSE( CONTROL!$C$29, 2.9599, 2.9557) * CHOOSE( CONTROL!$C$12, $D$11, 100%, $F$11)</f>
        <v>2.9599000000000002</v>
      </c>
      <c r="H47" s="4">
        <f>CHOOSE( CONTROL!$C$29, 3.8673, 3.8631) * CHOOSE(CONTROL!$C$12, $D$11, 100%, $F$11)</f>
        <v>3.8673000000000002</v>
      </c>
      <c r="I47" s="8">
        <f>CHOOSE( CONTROL!$C$29, 2.9897, 2.9856) * CHOOSE(CONTROL!$C$12, $D$11, 100%, $F$11)</f>
        <v>2.9897</v>
      </c>
      <c r="J47" s="4">
        <f>CHOOSE( CONTROL!$C$29, 2.9041, 2.9) * CHOOSE(CONTROL!$C$12, $D$11, 100%, $F$11)</f>
        <v>2.9041000000000001</v>
      </c>
      <c r="K47" s="4"/>
      <c r="L47" s="9">
        <v>30.896899999999999</v>
      </c>
      <c r="M47" s="9">
        <v>12.063700000000001</v>
      </c>
      <c r="N47" s="9">
        <v>4.9444999999999997</v>
      </c>
      <c r="O47" s="9">
        <v>0.37459999999999999</v>
      </c>
      <c r="P47" s="9">
        <v>1.2192000000000001</v>
      </c>
      <c r="Q47" s="9">
        <v>24.901700000000002</v>
      </c>
      <c r="R47" s="9"/>
      <c r="S47" s="11"/>
    </row>
    <row r="48" spans="1:19" ht="15" customHeight="1">
      <c r="A48" s="13">
        <v>43313</v>
      </c>
      <c r="B48" s="8">
        <f>CHOOSE( CONTROL!$C$29, 3.0451, 3.0409) * CHOOSE(CONTROL!$C$12, $D$11, 100%, $F$11)</f>
        <v>3.0451000000000001</v>
      </c>
      <c r="C48" s="8">
        <f>CHOOSE( CONTROL!$C$29, 3.0555, 3.0513) * CHOOSE(CONTROL!$C$12, $D$11, 100%, $F$11)</f>
        <v>3.0554999999999999</v>
      </c>
      <c r="D48" s="8">
        <f>CHOOSE( CONTROL!$C$29, 3.0781, 3.0739) * CHOOSE( CONTROL!$C$12, $D$11, 100%, $F$11)</f>
        <v>3.0781000000000001</v>
      </c>
      <c r="E48" s="12">
        <f>CHOOSE( CONTROL!$C$29, 3.0683, 3.0641) * CHOOSE( CONTROL!$C$12, $D$11, 100%, $F$11)</f>
        <v>3.0682999999999998</v>
      </c>
      <c r="F48" s="4">
        <f>CHOOSE( CONTROL!$C$29, 4.0837, 4.0794) * CHOOSE(CONTROL!$C$12, $D$11, 100%, $F$11)</f>
        <v>4.0837000000000003</v>
      </c>
      <c r="G48" s="8">
        <f>CHOOSE( CONTROL!$C$29, 2.9746, 2.9705) * CHOOSE( CONTROL!$C$12, $D$11, 100%, $F$11)</f>
        <v>2.9746000000000001</v>
      </c>
      <c r="H48" s="4">
        <f>CHOOSE( CONTROL!$C$29, 3.9044, 3.9003) * CHOOSE(CONTROL!$C$12, $D$11, 100%, $F$11)</f>
        <v>3.9043999999999999</v>
      </c>
      <c r="I48" s="8">
        <f>CHOOSE( CONTROL!$C$29, 2.9901, 2.9861) * CHOOSE(CONTROL!$C$12, $D$11, 100%, $F$11)</f>
        <v>2.9901</v>
      </c>
      <c r="J48" s="4">
        <f>CHOOSE( CONTROL!$C$29, 2.9131, 2.909) * CHOOSE(CONTROL!$C$12, $D$11, 100%, $F$11)</f>
        <v>2.9131</v>
      </c>
      <c r="K48" s="4"/>
      <c r="L48" s="9">
        <v>30.896899999999999</v>
      </c>
      <c r="M48" s="9">
        <v>12.063700000000001</v>
      </c>
      <c r="N48" s="9">
        <v>4.9444999999999997</v>
      </c>
      <c r="O48" s="9">
        <v>0.37459999999999999</v>
      </c>
      <c r="P48" s="9">
        <v>1.2192000000000001</v>
      </c>
      <c r="Q48" s="9">
        <v>24.901700000000002</v>
      </c>
      <c r="R48" s="9"/>
      <c r="S48" s="11"/>
    </row>
    <row r="49" spans="1:19" ht="15" customHeight="1">
      <c r="A49" s="13">
        <v>43344</v>
      </c>
      <c r="B49" s="8">
        <f>CHOOSE( CONTROL!$C$29, 3.0201, 3.0158) * CHOOSE(CONTROL!$C$12, $D$11, 100%, $F$11)</f>
        <v>3.0200999999999998</v>
      </c>
      <c r="C49" s="8">
        <f>CHOOSE( CONTROL!$C$29, 3.0305, 3.0263) * CHOOSE(CONTROL!$C$12, $D$11, 100%, $F$11)</f>
        <v>3.0305</v>
      </c>
      <c r="D49" s="8">
        <f>CHOOSE( CONTROL!$C$29, 3.0531, 3.0488) * CHOOSE( CONTROL!$C$12, $D$11, 100%, $F$11)</f>
        <v>3.0531000000000001</v>
      </c>
      <c r="E49" s="12">
        <f>CHOOSE( CONTROL!$C$29, 3.0433, 3.039) * CHOOSE( CONTROL!$C$12, $D$11, 100%, $F$11)</f>
        <v>3.0432999999999999</v>
      </c>
      <c r="F49" s="4">
        <f>CHOOSE( CONTROL!$C$29, 4.0586, 4.0544) * CHOOSE(CONTROL!$C$12, $D$11, 100%, $F$11)</f>
        <v>4.0586000000000002</v>
      </c>
      <c r="G49" s="8">
        <f>CHOOSE( CONTROL!$C$29, 2.9499, 2.9458) * CHOOSE( CONTROL!$C$12, $D$11, 100%, $F$11)</f>
        <v>2.9499</v>
      </c>
      <c r="H49" s="4">
        <f>CHOOSE( CONTROL!$C$29, 3.88, 3.8758) * CHOOSE(CONTROL!$C$12, $D$11, 100%, $F$11)</f>
        <v>3.88</v>
      </c>
      <c r="I49" s="8">
        <f>CHOOSE( CONTROL!$C$29, 2.9644, 2.9603) * CHOOSE(CONTROL!$C$12, $D$11, 100%, $F$11)</f>
        <v>2.9643999999999999</v>
      </c>
      <c r="J49" s="4">
        <f>CHOOSE( CONTROL!$C$29, 2.8891, 2.885) * CHOOSE(CONTROL!$C$12, $D$11, 100%, $F$11)</f>
        <v>2.8891</v>
      </c>
      <c r="K49" s="4"/>
      <c r="L49" s="9">
        <v>29.900200000000002</v>
      </c>
      <c r="M49" s="9">
        <v>11.6745</v>
      </c>
      <c r="N49" s="9">
        <v>4.7850000000000001</v>
      </c>
      <c r="O49" s="9">
        <v>0.36249999999999999</v>
      </c>
      <c r="P49" s="9">
        <v>1.1798</v>
      </c>
      <c r="Q49" s="9">
        <v>24.098400000000002</v>
      </c>
      <c r="R49" s="9"/>
      <c r="S49" s="11"/>
    </row>
    <row r="50" spans="1:19" ht="15" customHeight="1">
      <c r="A50" s="13">
        <v>43374</v>
      </c>
      <c r="B50" s="8">
        <f>3.0336 * CHOOSE(CONTROL!$C$12, $D$11, 100%, $F$11)</f>
        <v>3.0335999999999999</v>
      </c>
      <c r="C50" s="8">
        <f>3.044 * CHOOSE(CONTROL!$C$12, $D$11, 100%, $F$11)</f>
        <v>3.044</v>
      </c>
      <c r="D50" s="8">
        <f>3.0484 * CHOOSE( CONTROL!$C$12, $D$11, 100%, $F$11)</f>
        <v>3.0484</v>
      </c>
      <c r="E50" s="12">
        <f>3.0458 * CHOOSE( CONTROL!$C$12, $D$11, 100%, $F$11)</f>
        <v>3.0457999999999998</v>
      </c>
      <c r="F50" s="4">
        <f>4.0408 * CHOOSE(CONTROL!$C$12, $D$11, 100%, $F$11)</f>
        <v>4.0407999999999999</v>
      </c>
      <c r="G50" s="8">
        <f>2.9533 * CHOOSE( CONTROL!$C$12, $D$11, 100%, $F$11)</f>
        <v>2.9533</v>
      </c>
      <c r="H50" s="4">
        <f>3.8626 * CHOOSE(CONTROL!$C$12, $D$11, 100%, $F$11)</f>
        <v>3.8626</v>
      </c>
      <c r="I50" s="8">
        <f>2.974 * CHOOSE(CONTROL!$C$12, $D$11, 100%, $F$11)</f>
        <v>2.9740000000000002</v>
      </c>
      <c r="J50" s="4">
        <f>2.902 * CHOOSE(CONTROL!$C$12, $D$11, 100%, $F$11)</f>
        <v>2.9020000000000001</v>
      </c>
      <c r="K50" s="4"/>
      <c r="L50" s="9">
        <v>30.654699999999998</v>
      </c>
      <c r="M50" s="9">
        <v>12.063700000000001</v>
      </c>
      <c r="N50" s="9">
        <v>4.9444999999999997</v>
      </c>
      <c r="O50" s="9">
        <v>0.37459999999999999</v>
      </c>
      <c r="P50" s="9">
        <v>1.2192000000000001</v>
      </c>
      <c r="Q50" s="9">
        <v>24.901700000000002</v>
      </c>
      <c r="R50" s="9"/>
      <c r="S50" s="11"/>
    </row>
    <row r="51" spans="1:19" ht="15" customHeight="1">
      <c r="A51" s="13">
        <v>43405</v>
      </c>
      <c r="B51" s="8">
        <f>3.1087 * CHOOSE(CONTROL!$C$12, $D$11, 100%, $F$11)</f>
        <v>3.1086999999999998</v>
      </c>
      <c r="C51" s="8">
        <f>3.1191 * CHOOSE(CONTROL!$C$12, $D$11, 100%, $F$11)</f>
        <v>3.1191</v>
      </c>
      <c r="D51" s="8">
        <f>3.1015 * CHOOSE( CONTROL!$C$12, $D$11, 100%, $F$11)</f>
        <v>3.1015000000000001</v>
      </c>
      <c r="E51" s="12">
        <f>3.1068 * CHOOSE( CONTROL!$C$12, $D$11, 100%, $F$11)</f>
        <v>3.1067999999999998</v>
      </c>
      <c r="F51" s="4">
        <f>4.1029 * CHOOSE(CONTROL!$C$12, $D$11, 100%, $F$11)</f>
        <v>4.1029</v>
      </c>
      <c r="G51" s="8">
        <f>3.0391 * CHOOSE( CONTROL!$C$12, $D$11, 100%, $F$11)</f>
        <v>3.0390999999999999</v>
      </c>
      <c r="H51" s="4">
        <f>3.9232 * CHOOSE(CONTROL!$C$12, $D$11, 100%, $F$11)</f>
        <v>3.9232</v>
      </c>
      <c r="I51" s="8">
        <f>3.0695 * CHOOSE(CONTROL!$C$12, $D$11, 100%, $F$11)</f>
        <v>3.0695000000000001</v>
      </c>
      <c r="J51" s="4">
        <f>2.974 * CHOOSE(CONTROL!$C$12, $D$11, 100%, $F$11)</f>
        <v>2.9740000000000002</v>
      </c>
      <c r="K51" s="4"/>
      <c r="L51" s="9">
        <v>28.000499999999999</v>
      </c>
      <c r="M51" s="9">
        <v>11.6745</v>
      </c>
      <c r="N51" s="9">
        <v>4.7850000000000001</v>
      </c>
      <c r="O51" s="9">
        <v>0.36249999999999999</v>
      </c>
      <c r="P51" s="9">
        <v>1.2522</v>
      </c>
      <c r="Q51" s="9">
        <v>24.098400000000002</v>
      </c>
      <c r="R51" s="9"/>
      <c r="S51" s="11"/>
    </row>
    <row r="52" spans="1:19" ht="15" customHeight="1">
      <c r="A52" s="13">
        <v>43435</v>
      </c>
      <c r="B52" s="8">
        <f>3.259 * CHOOSE(CONTROL!$C$12, $D$11, 100%, $F$11)</f>
        <v>3.2589999999999999</v>
      </c>
      <c r="C52" s="8">
        <f>3.2694 * CHOOSE(CONTROL!$C$12, $D$11, 100%, $F$11)</f>
        <v>3.2694000000000001</v>
      </c>
      <c r="D52" s="8">
        <f>3.2538 * CHOOSE( CONTROL!$C$12, $D$11, 100%, $F$11)</f>
        <v>3.2538</v>
      </c>
      <c r="E52" s="12">
        <f>3.2584 * CHOOSE( CONTROL!$C$12, $D$11, 100%, $F$11)</f>
        <v>3.2584</v>
      </c>
      <c r="F52" s="4">
        <f>4.2532 * CHOOSE(CONTROL!$C$12, $D$11, 100%, $F$11)</f>
        <v>4.2531999999999996</v>
      </c>
      <c r="G52" s="8">
        <f>3.1871 * CHOOSE( CONTROL!$C$12, $D$11, 100%, $F$11)</f>
        <v>3.1871</v>
      </c>
      <c r="H52" s="4">
        <f>4.0696 * CHOOSE(CONTROL!$C$12, $D$11, 100%, $F$11)</f>
        <v>4.0696000000000003</v>
      </c>
      <c r="I52" s="8">
        <f>3.2208 * CHOOSE(CONTROL!$C$12, $D$11, 100%, $F$11)</f>
        <v>3.2208000000000001</v>
      </c>
      <c r="J52" s="4">
        <f>3.118 * CHOOSE(CONTROL!$C$12, $D$11, 100%, $F$11)</f>
        <v>3.1179999999999999</v>
      </c>
      <c r="K52" s="4"/>
      <c r="L52" s="9">
        <v>28.933900000000001</v>
      </c>
      <c r="M52" s="9">
        <v>12.063700000000001</v>
      </c>
      <c r="N52" s="9">
        <v>4.9444999999999997</v>
      </c>
      <c r="O52" s="9">
        <v>0.37459999999999999</v>
      </c>
      <c r="P52" s="9">
        <v>1.2939000000000001</v>
      </c>
      <c r="Q52" s="9">
        <v>24.901700000000002</v>
      </c>
      <c r="R52" s="9"/>
      <c r="S52" s="11"/>
    </row>
    <row r="53" spans="1:19" ht="15" customHeight="1">
      <c r="A53" s="13">
        <v>43466</v>
      </c>
      <c r="B53" s="8">
        <f>3.9829 * CHOOSE(CONTROL!$C$12, $D$11, 100%, $F$11)</f>
        <v>3.9828999999999999</v>
      </c>
      <c r="C53" s="8">
        <f>3.9933 * CHOOSE(CONTROL!$C$12, $D$11, 100%, $F$11)</f>
        <v>3.9933000000000001</v>
      </c>
      <c r="D53" s="8">
        <f>3.991 * CHOOSE( CONTROL!$C$12, $D$11, 100%, $F$11)</f>
        <v>3.9910000000000001</v>
      </c>
      <c r="E53" s="12">
        <f>3.9907 * CHOOSE( CONTROL!$C$12, $D$11, 100%, $F$11)</f>
        <v>3.9906999999999999</v>
      </c>
      <c r="F53" s="4">
        <f>5.0058 * CHOOSE(CONTROL!$C$12, $D$11, 100%, $F$11)</f>
        <v>5.0057999999999998</v>
      </c>
      <c r="G53" s="8">
        <f>3.9099 * CHOOSE( CONTROL!$C$12, $D$11, 100%, $F$11)</f>
        <v>3.9098999999999999</v>
      </c>
      <c r="H53" s="4">
        <f>4.8032 * CHOOSE(CONTROL!$C$12, $D$11, 100%, $F$11)</f>
        <v>4.8032000000000004</v>
      </c>
      <c r="I53" s="8">
        <f>3.9221 * CHOOSE(CONTROL!$C$12, $D$11, 100%, $F$11)</f>
        <v>3.9220999999999999</v>
      </c>
      <c r="J53" s="4">
        <f>3.8116 * CHOOSE(CONTROL!$C$12, $D$11, 100%, $F$11)</f>
        <v>3.8115999999999999</v>
      </c>
      <c r="K53" s="4"/>
      <c r="L53" s="9">
        <v>28.933900000000001</v>
      </c>
      <c r="M53" s="9">
        <v>12.063700000000001</v>
      </c>
      <c r="N53" s="9">
        <v>4.9444999999999997</v>
      </c>
      <c r="O53" s="9">
        <v>0.37459999999999999</v>
      </c>
      <c r="P53" s="9">
        <v>1.2939000000000001</v>
      </c>
      <c r="Q53" s="9">
        <v>24.651199999999999</v>
      </c>
      <c r="R53" s="9"/>
      <c r="S53" s="11"/>
    </row>
    <row r="54" spans="1:19" ht="15" customHeight="1">
      <c r="A54" s="13">
        <v>43497</v>
      </c>
      <c r="B54" s="8">
        <f>3.7257 * CHOOSE(CONTROL!$C$12, $D$11, 100%, $F$11)</f>
        <v>3.7256999999999998</v>
      </c>
      <c r="C54" s="8">
        <f>3.7361 * CHOOSE(CONTROL!$C$12, $D$11, 100%, $F$11)</f>
        <v>3.7361</v>
      </c>
      <c r="D54" s="8">
        <f>3.7361 * CHOOSE( CONTROL!$C$12, $D$11, 100%, $F$11)</f>
        <v>3.7361</v>
      </c>
      <c r="E54" s="12">
        <f>3.735 * CHOOSE( CONTROL!$C$12, $D$11, 100%, $F$11)</f>
        <v>3.7349999999999999</v>
      </c>
      <c r="F54" s="4">
        <f>4.7408 * CHOOSE(CONTROL!$C$12, $D$11, 100%, $F$11)</f>
        <v>4.7408000000000001</v>
      </c>
      <c r="G54" s="8">
        <f>3.6591 * CHOOSE( CONTROL!$C$12, $D$11, 100%, $F$11)</f>
        <v>3.6591</v>
      </c>
      <c r="H54" s="4">
        <f>4.5449 * CHOOSE(CONTROL!$C$12, $D$11, 100%, $F$11)</f>
        <v>4.5449000000000002</v>
      </c>
      <c r="I54" s="8">
        <f>3.6646 * CHOOSE(CONTROL!$C$12, $D$11, 100%, $F$11)</f>
        <v>3.6646000000000001</v>
      </c>
      <c r="J54" s="4">
        <f>3.5652 * CHOOSE(CONTROL!$C$12, $D$11, 100%, $F$11)</f>
        <v>3.5651999999999999</v>
      </c>
      <c r="K54" s="4"/>
      <c r="L54" s="9">
        <v>26.133800000000001</v>
      </c>
      <c r="M54" s="9">
        <v>10.8962</v>
      </c>
      <c r="N54" s="9">
        <v>4.4660000000000002</v>
      </c>
      <c r="O54" s="9">
        <v>0.33829999999999999</v>
      </c>
      <c r="P54" s="9">
        <v>1.1687000000000001</v>
      </c>
      <c r="Q54" s="9">
        <v>22.265599999999999</v>
      </c>
      <c r="R54" s="9"/>
      <c r="S54" s="11"/>
    </row>
    <row r="55" spans="1:19" ht="15" customHeight="1">
      <c r="A55" s="13">
        <v>43525</v>
      </c>
      <c r="B55" s="8">
        <f>3.6465 * CHOOSE(CONTROL!$C$12, $D$11, 100%, $F$11)</f>
        <v>3.6465000000000001</v>
      </c>
      <c r="C55" s="8">
        <f>3.6569 * CHOOSE(CONTROL!$C$12, $D$11, 100%, $F$11)</f>
        <v>3.6568999999999998</v>
      </c>
      <c r="D55" s="8">
        <f>3.6368 * CHOOSE( CONTROL!$C$12, $D$11, 100%, $F$11)</f>
        <v>3.6368</v>
      </c>
      <c r="E55" s="12">
        <f>3.643 * CHOOSE( CONTROL!$C$12, $D$11, 100%, $F$11)</f>
        <v>3.6429999999999998</v>
      </c>
      <c r="F55" s="4">
        <f>4.6454 * CHOOSE(CONTROL!$C$12, $D$11, 100%, $F$11)</f>
        <v>4.6454000000000004</v>
      </c>
      <c r="G55" s="8">
        <f>3.5614 * CHOOSE( CONTROL!$C$12, $D$11, 100%, $F$11)</f>
        <v>3.5613999999999999</v>
      </c>
      <c r="H55" s="4">
        <f>4.452 * CHOOSE(CONTROL!$C$12, $D$11, 100%, $F$11)</f>
        <v>4.452</v>
      </c>
      <c r="I55" s="8">
        <f>3.5492 * CHOOSE(CONTROL!$C$12, $D$11, 100%, $F$11)</f>
        <v>3.5491999999999999</v>
      </c>
      <c r="J55" s="4">
        <f>3.4893 * CHOOSE(CONTROL!$C$12, $D$11, 100%, $F$11)</f>
        <v>3.4893000000000001</v>
      </c>
      <c r="K55" s="4"/>
      <c r="L55" s="9">
        <v>28.933900000000001</v>
      </c>
      <c r="M55" s="9">
        <v>12.063700000000001</v>
      </c>
      <c r="N55" s="9">
        <v>4.9444999999999997</v>
      </c>
      <c r="O55" s="9">
        <v>0.37459999999999999</v>
      </c>
      <c r="P55" s="9">
        <v>1.2939000000000001</v>
      </c>
      <c r="Q55" s="9">
        <v>24.651199999999999</v>
      </c>
      <c r="R55" s="9"/>
      <c r="S55" s="11"/>
    </row>
    <row r="56" spans="1:19" ht="15" customHeight="1">
      <c r="A56" s="13">
        <v>43556</v>
      </c>
      <c r="B56" s="8">
        <f>3.7018 * CHOOSE(CONTROL!$C$12, $D$11, 100%, $F$11)</f>
        <v>3.7018</v>
      </c>
      <c r="C56" s="8">
        <f>3.7123 * CHOOSE(CONTROL!$C$12, $D$11, 100%, $F$11)</f>
        <v>3.7122999999999999</v>
      </c>
      <c r="D56" s="8">
        <f>3.7155 * CHOOSE( CONTROL!$C$12, $D$11, 100%, $F$11)</f>
        <v>3.7155</v>
      </c>
      <c r="E56" s="12">
        <f>3.7132 * CHOOSE( CONTROL!$C$12, $D$11, 100%, $F$11)</f>
        <v>3.7132000000000001</v>
      </c>
      <c r="F56" s="4">
        <f>4.7091 * CHOOSE(CONTROL!$C$12, $D$11, 100%, $F$11)</f>
        <v>4.7091000000000003</v>
      </c>
      <c r="G56" s="8">
        <f>3.6032 * CHOOSE( CONTROL!$C$12, $D$11, 100%, $F$11)</f>
        <v>3.6032000000000002</v>
      </c>
      <c r="H56" s="4">
        <f>4.514 * CHOOSE(CONTROL!$C$12, $D$11, 100%, $F$11)</f>
        <v>4.5140000000000002</v>
      </c>
      <c r="I56" s="8">
        <f>3.5924 * CHOOSE(CONTROL!$C$12, $D$11, 100%, $F$11)</f>
        <v>3.5924</v>
      </c>
      <c r="J56" s="4">
        <f>3.5423 * CHOOSE(CONTROL!$C$12, $D$11, 100%, $F$11)</f>
        <v>3.5423</v>
      </c>
      <c r="K56" s="4"/>
      <c r="L56" s="9">
        <v>29.665800000000001</v>
      </c>
      <c r="M56" s="9">
        <v>11.6745</v>
      </c>
      <c r="N56" s="9">
        <v>4.7850000000000001</v>
      </c>
      <c r="O56" s="9">
        <v>0.36249999999999999</v>
      </c>
      <c r="P56" s="9">
        <v>1.1798</v>
      </c>
      <c r="Q56" s="9">
        <v>23.856000000000002</v>
      </c>
      <c r="R56" s="9"/>
      <c r="S56" s="11"/>
    </row>
    <row r="57" spans="1:19" ht="15" customHeight="1">
      <c r="A57" s="13">
        <v>43586</v>
      </c>
      <c r="B57" s="8">
        <f>CHOOSE( CONTROL!$C$29, 3.8046, 3.8003) * CHOOSE(CONTROL!$C$12, $D$11, 100%, $F$11)</f>
        <v>3.8046000000000002</v>
      </c>
      <c r="C57" s="8">
        <f>CHOOSE( CONTROL!$C$29, 3.815, 3.8108) * CHOOSE(CONTROL!$C$12, $D$11, 100%, $F$11)</f>
        <v>3.8149999999999999</v>
      </c>
      <c r="D57" s="8">
        <f>CHOOSE( CONTROL!$C$29, 3.7929, 3.7887) * CHOOSE( CONTROL!$C$12, $D$11, 100%, $F$11)</f>
        <v>3.7928999999999999</v>
      </c>
      <c r="E57" s="12">
        <f>CHOOSE( CONTROL!$C$29, 3.7993, 3.7951) * CHOOSE( CONTROL!$C$12, $D$11, 100%, $F$11)</f>
        <v>3.7993000000000001</v>
      </c>
      <c r="F57" s="4">
        <f>CHOOSE( CONTROL!$C$29, 4.7795, 4.7752) * CHOOSE(CONTROL!$C$12, $D$11, 100%, $F$11)</f>
        <v>4.7794999999999996</v>
      </c>
      <c r="G57" s="8">
        <f>CHOOSE( CONTROL!$C$29, 3.6846, 3.6804) * CHOOSE( CONTROL!$C$12, $D$11, 100%, $F$11)</f>
        <v>3.6846000000000001</v>
      </c>
      <c r="H57" s="4">
        <f>CHOOSE( CONTROL!$C$29, 4.5827, 4.5785) * CHOOSE(CONTROL!$C$12, $D$11, 100%, $F$11)</f>
        <v>4.5827</v>
      </c>
      <c r="I57" s="8">
        <f>CHOOSE( CONTROL!$C$29, 3.6693, 3.6653) * CHOOSE(CONTROL!$C$12, $D$11, 100%, $F$11)</f>
        <v>3.6692999999999998</v>
      </c>
      <c r="J57" s="4">
        <f>CHOOSE( CONTROL!$C$29, 3.6408, 3.6367) * CHOOSE(CONTROL!$C$12, $D$11, 100%, $F$11)</f>
        <v>3.6408</v>
      </c>
      <c r="K57" s="4"/>
      <c r="L57" s="9">
        <v>30.896899999999999</v>
      </c>
      <c r="M57" s="9">
        <v>12.063700000000001</v>
      </c>
      <c r="N57" s="9">
        <v>4.9444999999999997</v>
      </c>
      <c r="O57" s="9">
        <v>0.37459999999999999</v>
      </c>
      <c r="P57" s="9">
        <v>1.2192000000000001</v>
      </c>
      <c r="Q57" s="9">
        <v>24.651199999999999</v>
      </c>
      <c r="R57" s="9"/>
      <c r="S57" s="11"/>
    </row>
    <row r="58" spans="1:19" ht="15" customHeight="1">
      <c r="A58" s="13">
        <v>43617</v>
      </c>
      <c r="B58" s="8">
        <f>CHOOSE( CONTROL!$C$29, 3.7436, 3.7393) * CHOOSE(CONTROL!$C$12, $D$11, 100%, $F$11)</f>
        <v>3.7435999999999998</v>
      </c>
      <c r="C58" s="8">
        <f>CHOOSE( CONTROL!$C$29, 3.754, 3.7498) * CHOOSE(CONTROL!$C$12, $D$11, 100%, $F$11)</f>
        <v>3.754</v>
      </c>
      <c r="D58" s="8">
        <f>CHOOSE( CONTROL!$C$29, 3.7263, 3.7221) * CHOOSE( CONTROL!$C$12, $D$11, 100%, $F$11)</f>
        <v>3.7263000000000002</v>
      </c>
      <c r="E58" s="12">
        <f>CHOOSE( CONTROL!$C$29, 3.7348, 3.7305) * CHOOSE( CONTROL!$C$12, $D$11, 100%, $F$11)</f>
        <v>3.7347999999999999</v>
      </c>
      <c r="F58" s="4">
        <f>CHOOSE( CONTROL!$C$29, 4.708, 4.7038) * CHOOSE(CONTROL!$C$12, $D$11, 100%, $F$11)</f>
        <v>4.7080000000000002</v>
      </c>
      <c r="G58" s="8">
        <f>CHOOSE( CONTROL!$C$29, 3.6238, 3.6197) * CHOOSE( CONTROL!$C$12, $D$11, 100%, $F$11)</f>
        <v>3.6238000000000001</v>
      </c>
      <c r="H58" s="4">
        <f>CHOOSE( CONTROL!$C$29, 4.513, 4.5089) * CHOOSE(CONTROL!$C$12, $D$11, 100%, $F$11)</f>
        <v>4.5129999999999999</v>
      </c>
      <c r="I58" s="8">
        <f>CHOOSE( CONTROL!$C$29, 3.613, 3.6089) * CHOOSE(CONTROL!$C$12, $D$11, 100%, $F$11)</f>
        <v>3.613</v>
      </c>
      <c r="J58" s="4">
        <f>CHOOSE( CONTROL!$C$29, 3.5823, 3.5783) * CHOOSE(CONTROL!$C$12, $D$11, 100%, $F$11)</f>
        <v>3.5823</v>
      </c>
      <c r="K58" s="4"/>
      <c r="L58" s="9">
        <v>29.900200000000002</v>
      </c>
      <c r="M58" s="9">
        <v>11.6745</v>
      </c>
      <c r="N58" s="9">
        <v>4.7850000000000001</v>
      </c>
      <c r="O58" s="9">
        <v>0.36249999999999999</v>
      </c>
      <c r="P58" s="9">
        <v>1.1798</v>
      </c>
      <c r="Q58" s="9">
        <v>23.856000000000002</v>
      </c>
      <c r="R58" s="9"/>
      <c r="S58" s="11"/>
    </row>
    <row r="59" spans="1:19" ht="15" customHeight="1">
      <c r="A59" s="13">
        <v>43647</v>
      </c>
      <c r="B59" s="8">
        <f>CHOOSE( CONTROL!$C$29, 3.9043, 3.9) * CHOOSE(CONTROL!$C$12, $D$11, 100%, $F$11)</f>
        <v>3.9043000000000001</v>
      </c>
      <c r="C59" s="8">
        <f>CHOOSE( CONTROL!$C$29, 3.9147, 3.9105) * CHOOSE(CONTROL!$C$12, $D$11, 100%, $F$11)</f>
        <v>3.9146999999999998</v>
      </c>
      <c r="D59" s="8">
        <f>CHOOSE( CONTROL!$C$29, 3.9208, 3.9166) * CHOOSE( CONTROL!$C$12, $D$11, 100%, $F$11)</f>
        <v>3.9207999999999998</v>
      </c>
      <c r="E59" s="12">
        <f>CHOOSE( CONTROL!$C$29, 3.917, 3.9128) * CHOOSE( CONTROL!$C$12, $D$11, 100%, $F$11)</f>
        <v>3.9169999999999998</v>
      </c>
      <c r="F59" s="4">
        <f>CHOOSE( CONTROL!$C$29, 4.9141, 4.9099) * CHOOSE(CONTROL!$C$12, $D$11, 100%, $F$11)</f>
        <v>4.9141000000000004</v>
      </c>
      <c r="G59" s="8">
        <f>CHOOSE( CONTROL!$C$29, 3.8065, 3.8024) * CHOOSE( CONTROL!$C$12, $D$11, 100%, $F$11)</f>
        <v>3.8065000000000002</v>
      </c>
      <c r="H59" s="4">
        <f>CHOOSE( CONTROL!$C$29, 4.7139, 4.7098) * CHOOSE(CONTROL!$C$12, $D$11, 100%, $F$11)</f>
        <v>4.7138999999999998</v>
      </c>
      <c r="I59" s="8">
        <f>CHOOSE( CONTROL!$C$29, 3.8223, 3.8183) * CHOOSE(CONTROL!$C$12, $D$11, 100%, $F$11)</f>
        <v>3.8222999999999998</v>
      </c>
      <c r="J59" s="4">
        <f>CHOOSE( CONTROL!$C$29, 3.7363, 3.7322) * CHOOSE(CONTROL!$C$12, $D$11, 100%, $F$11)</f>
        <v>3.7363</v>
      </c>
      <c r="K59" s="4"/>
      <c r="L59" s="9">
        <v>30.896899999999999</v>
      </c>
      <c r="M59" s="9">
        <v>12.063700000000001</v>
      </c>
      <c r="N59" s="9">
        <v>4.9444999999999997</v>
      </c>
      <c r="O59" s="9">
        <v>0.37459999999999999</v>
      </c>
      <c r="P59" s="9">
        <v>1.2192000000000001</v>
      </c>
      <c r="Q59" s="9">
        <v>24.651199999999999</v>
      </c>
      <c r="R59" s="9"/>
      <c r="S59" s="11"/>
    </row>
    <row r="60" spans="1:19" ht="15" customHeight="1">
      <c r="A60" s="13">
        <v>43678</v>
      </c>
      <c r="B60" s="8">
        <f>CHOOSE( CONTROL!$C$29, 3.6036, 3.5993) * CHOOSE(CONTROL!$C$12, $D$11, 100%, $F$11)</f>
        <v>3.6036000000000001</v>
      </c>
      <c r="C60" s="8">
        <f>CHOOSE( CONTROL!$C$29, 3.614, 3.6098) * CHOOSE(CONTROL!$C$12, $D$11, 100%, $F$11)</f>
        <v>3.6139999999999999</v>
      </c>
      <c r="D60" s="8">
        <f>CHOOSE( CONTROL!$C$29, 3.6366, 3.6324) * CHOOSE( CONTROL!$C$12, $D$11, 100%, $F$11)</f>
        <v>3.6366000000000001</v>
      </c>
      <c r="E60" s="12">
        <f>CHOOSE( CONTROL!$C$29, 3.6268, 3.6226) * CHOOSE( CONTROL!$C$12, $D$11, 100%, $F$11)</f>
        <v>3.6267999999999998</v>
      </c>
      <c r="F60" s="4">
        <f>CHOOSE( CONTROL!$C$29, 4.6422, 4.6379) * CHOOSE(CONTROL!$C$12, $D$11, 100%, $F$11)</f>
        <v>4.6421999999999999</v>
      </c>
      <c r="G60" s="8">
        <f>CHOOSE( CONTROL!$C$29, 3.519, 3.5149) * CHOOSE( CONTROL!$C$12, $D$11, 100%, $F$11)</f>
        <v>3.5190000000000001</v>
      </c>
      <c r="H60" s="4">
        <f>CHOOSE( CONTROL!$C$29, 4.4488, 4.4447) * CHOOSE(CONTROL!$C$12, $D$11, 100%, $F$11)</f>
        <v>4.4488000000000003</v>
      </c>
      <c r="I60" s="8">
        <f>CHOOSE( CONTROL!$C$29, 3.5255, 3.5215) * CHOOSE(CONTROL!$C$12, $D$11, 100%, $F$11)</f>
        <v>3.5255000000000001</v>
      </c>
      <c r="J60" s="4">
        <f>CHOOSE( CONTROL!$C$29, 3.4482, 3.4441) * CHOOSE(CONTROL!$C$12, $D$11, 100%, $F$11)</f>
        <v>3.4481999999999999</v>
      </c>
      <c r="K60" s="4"/>
      <c r="L60" s="9">
        <v>30.896899999999999</v>
      </c>
      <c r="M60" s="9">
        <v>12.063700000000001</v>
      </c>
      <c r="N60" s="9">
        <v>4.9444999999999997</v>
      </c>
      <c r="O60" s="9">
        <v>0.37459999999999999</v>
      </c>
      <c r="P60" s="9">
        <v>1.2192000000000001</v>
      </c>
      <c r="Q60" s="9">
        <v>24.651199999999999</v>
      </c>
      <c r="R60" s="9"/>
      <c r="S60" s="11"/>
    </row>
    <row r="61" spans="1:19" ht="15" customHeight="1">
      <c r="A61" s="13">
        <v>43709</v>
      </c>
      <c r="B61" s="8">
        <f>CHOOSE( CONTROL!$C$29, 3.5283, 3.5241) * CHOOSE(CONTROL!$C$12, $D$11, 100%, $F$11)</f>
        <v>3.5283000000000002</v>
      </c>
      <c r="C61" s="8">
        <f>CHOOSE( CONTROL!$C$29, 3.5387, 3.5345) * CHOOSE(CONTROL!$C$12, $D$11, 100%, $F$11)</f>
        <v>3.5387</v>
      </c>
      <c r="D61" s="8">
        <f>CHOOSE( CONTROL!$C$29, 3.5613, 3.5571) * CHOOSE( CONTROL!$C$12, $D$11, 100%, $F$11)</f>
        <v>3.5613000000000001</v>
      </c>
      <c r="E61" s="12">
        <f>CHOOSE( CONTROL!$C$29, 3.5515, 3.5473) * CHOOSE( CONTROL!$C$12, $D$11, 100%, $F$11)</f>
        <v>3.5514999999999999</v>
      </c>
      <c r="F61" s="4">
        <f>CHOOSE( CONTROL!$C$29, 4.5669, 4.5626) * CHOOSE(CONTROL!$C$12, $D$11, 100%, $F$11)</f>
        <v>4.5669000000000004</v>
      </c>
      <c r="G61" s="8">
        <f>CHOOSE( CONTROL!$C$29, 3.4453, 3.4412) * CHOOSE( CONTROL!$C$12, $D$11, 100%, $F$11)</f>
        <v>3.4453</v>
      </c>
      <c r="H61" s="4">
        <f>CHOOSE( CONTROL!$C$29, 4.3754, 4.3713) * CHOOSE(CONTROL!$C$12, $D$11, 100%, $F$11)</f>
        <v>4.3754</v>
      </c>
      <c r="I61" s="8">
        <f>CHOOSE( CONTROL!$C$29, 3.4517, 3.4476) * CHOOSE(CONTROL!$C$12, $D$11, 100%, $F$11)</f>
        <v>3.4517000000000002</v>
      </c>
      <c r="J61" s="4">
        <f>CHOOSE( CONTROL!$C$29, 3.3761, 3.372) * CHOOSE(CONTROL!$C$12, $D$11, 100%, $F$11)</f>
        <v>3.3761000000000001</v>
      </c>
      <c r="K61" s="4"/>
      <c r="L61" s="9">
        <v>29.900200000000002</v>
      </c>
      <c r="M61" s="9">
        <v>11.6745</v>
      </c>
      <c r="N61" s="9">
        <v>4.7850000000000001</v>
      </c>
      <c r="O61" s="9">
        <v>0.36249999999999999</v>
      </c>
      <c r="P61" s="9">
        <v>1.1798</v>
      </c>
      <c r="Q61" s="9">
        <v>23.856000000000002</v>
      </c>
      <c r="R61" s="9"/>
      <c r="S61" s="11"/>
    </row>
    <row r="62" spans="1:19" ht="15" customHeight="1">
      <c r="A62" s="13">
        <v>43739</v>
      </c>
      <c r="B62" s="8">
        <f>3.6804 * CHOOSE(CONTROL!$C$12, $D$11, 100%, $F$11)</f>
        <v>3.6804000000000001</v>
      </c>
      <c r="C62" s="8">
        <f>3.6908 * CHOOSE(CONTROL!$C$12, $D$11, 100%, $F$11)</f>
        <v>3.6907999999999999</v>
      </c>
      <c r="D62" s="8">
        <f>3.6953 * CHOOSE( CONTROL!$C$12, $D$11, 100%, $F$11)</f>
        <v>3.6953</v>
      </c>
      <c r="E62" s="12">
        <f>3.6927 * CHOOSE( CONTROL!$C$12, $D$11, 100%, $F$11)</f>
        <v>3.6926999999999999</v>
      </c>
      <c r="F62" s="4">
        <f>4.6876 * CHOOSE(CONTROL!$C$12, $D$11, 100%, $F$11)</f>
        <v>4.6875999999999998</v>
      </c>
      <c r="G62" s="8">
        <f>3.5839 * CHOOSE( CONTROL!$C$12, $D$11, 100%, $F$11)</f>
        <v>3.5838999999999999</v>
      </c>
      <c r="H62" s="4">
        <f>4.4931 * CHOOSE(CONTROL!$C$12, $D$11, 100%, $F$11)</f>
        <v>4.4931000000000001</v>
      </c>
      <c r="I62" s="8">
        <f>3.5941 * CHOOSE(CONTROL!$C$12, $D$11, 100%, $F$11)</f>
        <v>3.5941000000000001</v>
      </c>
      <c r="J62" s="4">
        <f>3.5218 * CHOOSE(CONTROL!$C$12, $D$11, 100%, $F$11)</f>
        <v>3.5217999999999998</v>
      </c>
      <c r="K62" s="4"/>
      <c r="L62" s="9">
        <v>30.654699999999998</v>
      </c>
      <c r="M62" s="9">
        <v>12.063700000000001</v>
      </c>
      <c r="N62" s="9">
        <v>4.9444999999999997</v>
      </c>
      <c r="O62" s="9">
        <v>0.37459999999999999</v>
      </c>
      <c r="P62" s="9">
        <v>1.2192000000000001</v>
      </c>
      <c r="Q62" s="9">
        <v>24.651199999999999</v>
      </c>
      <c r="R62" s="9"/>
      <c r="S62" s="11"/>
    </row>
    <row r="63" spans="1:19" ht="15" customHeight="1">
      <c r="A63" s="13">
        <v>43770</v>
      </c>
      <c r="B63" s="8">
        <f>3.9689 * CHOOSE(CONTROL!$C$12, $D$11, 100%, $F$11)</f>
        <v>3.9689000000000001</v>
      </c>
      <c r="C63" s="8">
        <f>3.9794 * CHOOSE(CONTROL!$C$12, $D$11, 100%, $F$11)</f>
        <v>3.9794</v>
      </c>
      <c r="D63" s="8">
        <f>3.9618 * CHOOSE( CONTROL!$C$12, $D$11, 100%, $F$11)</f>
        <v>3.9618000000000002</v>
      </c>
      <c r="E63" s="12">
        <f>3.9671 * CHOOSE( CONTROL!$C$12, $D$11, 100%, $F$11)</f>
        <v>3.9670999999999998</v>
      </c>
      <c r="F63" s="4">
        <f>4.9631 * CHOOSE(CONTROL!$C$12, $D$11, 100%, $F$11)</f>
        <v>4.9630999999999998</v>
      </c>
      <c r="G63" s="8">
        <f>3.8776 * CHOOSE( CONTROL!$C$12, $D$11, 100%, $F$11)</f>
        <v>3.8776000000000002</v>
      </c>
      <c r="H63" s="4">
        <f>4.7617 * CHOOSE(CONTROL!$C$12, $D$11, 100%, $F$11)</f>
        <v>4.7617000000000003</v>
      </c>
      <c r="I63" s="8">
        <f>3.8942 * CHOOSE(CONTROL!$C$12, $D$11, 100%, $F$11)</f>
        <v>3.8942000000000001</v>
      </c>
      <c r="J63" s="4">
        <f>3.7983 * CHOOSE(CONTROL!$C$12, $D$11, 100%, $F$11)</f>
        <v>3.7982999999999998</v>
      </c>
      <c r="K63" s="4"/>
      <c r="L63" s="9">
        <v>28.000499999999999</v>
      </c>
      <c r="M63" s="9">
        <v>11.6745</v>
      </c>
      <c r="N63" s="9">
        <v>4.7850000000000001</v>
      </c>
      <c r="O63" s="9">
        <v>0.36249999999999999</v>
      </c>
      <c r="P63" s="9">
        <v>1.2522</v>
      </c>
      <c r="Q63" s="9">
        <v>23.856000000000002</v>
      </c>
      <c r="R63" s="9"/>
      <c r="S63" s="11"/>
    </row>
    <row r="64" spans="1:19" ht="15.75">
      <c r="A64" s="13">
        <v>43800</v>
      </c>
      <c r="B64" s="8">
        <f>3.9617 * CHOOSE(CONTROL!$C$12, $D$11, 100%, $F$11)</f>
        <v>3.9617</v>
      </c>
      <c r="C64" s="8">
        <f>3.9722 * CHOOSE(CONTROL!$C$12, $D$11, 100%, $F$11)</f>
        <v>3.9722</v>
      </c>
      <c r="D64" s="8">
        <f>3.9566 * CHOOSE( CONTROL!$C$12, $D$11, 100%, $F$11)</f>
        <v>3.9565999999999999</v>
      </c>
      <c r="E64" s="12">
        <f>3.9612 * CHOOSE( CONTROL!$C$12, $D$11, 100%, $F$11)</f>
        <v>3.9611999999999998</v>
      </c>
      <c r="F64" s="4">
        <f>4.9559 * CHOOSE(CONTROL!$C$12, $D$11, 100%, $F$11)</f>
        <v>4.9558999999999997</v>
      </c>
      <c r="G64" s="8">
        <f>3.8721 * CHOOSE( CONTROL!$C$12, $D$11, 100%, $F$11)</f>
        <v>3.8721000000000001</v>
      </c>
      <c r="H64" s="4">
        <f>4.7547 * CHOOSE(CONTROL!$C$12, $D$11, 100%, $F$11)</f>
        <v>4.7546999999999997</v>
      </c>
      <c r="I64" s="8">
        <f>3.8945 * CHOOSE(CONTROL!$C$12, $D$11, 100%, $F$11)</f>
        <v>3.8944999999999999</v>
      </c>
      <c r="J64" s="4">
        <f>3.7914 * CHOOSE(CONTROL!$C$12, $D$11, 100%, $F$11)</f>
        <v>3.7913999999999999</v>
      </c>
      <c r="K64" s="4"/>
      <c r="L64" s="9">
        <v>28.933900000000001</v>
      </c>
      <c r="M64" s="9">
        <v>12.063700000000001</v>
      </c>
      <c r="N64" s="9">
        <v>4.9444999999999997</v>
      </c>
      <c r="O64" s="9">
        <v>0.37459999999999999</v>
      </c>
      <c r="P64" s="9">
        <v>1.2939000000000001</v>
      </c>
      <c r="Q64" s="9">
        <v>24.651199999999999</v>
      </c>
      <c r="R64" s="9"/>
      <c r="S64" s="11"/>
    </row>
    <row r="65" spans="1:19" ht="15.75">
      <c r="A65" s="13">
        <v>43831</v>
      </c>
      <c r="B65" s="8">
        <f>3.9645 * CHOOSE(CONTROL!$C$12, $D$11, 100%, $F$11)</f>
        <v>3.9645000000000001</v>
      </c>
      <c r="C65" s="8">
        <f>3.9749 * CHOOSE(CONTROL!$C$12, $D$11, 100%, $F$11)</f>
        <v>3.9748999999999999</v>
      </c>
      <c r="D65" s="8">
        <f>3.9726 * CHOOSE( CONTROL!$C$12, $D$11, 100%, $F$11)</f>
        <v>3.9725999999999999</v>
      </c>
      <c r="E65" s="12">
        <f>3.9723 * CHOOSE( CONTROL!$C$12, $D$11, 100%, $F$11)</f>
        <v>3.9723000000000002</v>
      </c>
      <c r="F65" s="4">
        <f>4.9874 * CHOOSE(CONTROL!$C$12, $D$11, 100%, $F$11)</f>
        <v>4.9874000000000001</v>
      </c>
      <c r="G65" s="8">
        <f>3.8919 * CHOOSE( CONTROL!$C$12, $D$11, 100%, $F$11)</f>
        <v>3.8919000000000001</v>
      </c>
      <c r="H65" s="4">
        <f>4.7853 * CHOOSE(CONTROL!$C$12, $D$11, 100%, $F$11)</f>
        <v>4.7853000000000003</v>
      </c>
      <c r="I65" s="8">
        <f>3.9045 * CHOOSE(CONTROL!$C$12, $D$11, 100%, $F$11)</f>
        <v>3.9045000000000001</v>
      </c>
      <c r="J65" s="4">
        <f>3.794 * CHOOSE(CONTROL!$C$12, $D$11, 100%, $F$11)</f>
        <v>3.794</v>
      </c>
      <c r="K65" s="4"/>
      <c r="L65" s="9">
        <v>28.933900000000001</v>
      </c>
      <c r="M65" s="9">
        <v>12.063700000000001</v>
      </c>
      <c r="N65" s="9">
        <v>4.9444999999999997</v>
      </c>
      <c r="O65" s="9">
        <v>0.37459999999999999</v>
      </c>
      <c r="P65" s="9">
        <v>1.2939000000000001</v>
      </c>
      <c r="Q65" s="9">
        <v>22.150099999999998</v>
      </c>
      <c r="R65" s="9"/>
      <c r="S65" s="11"/>
    </row>
    <row r="66" spans="1:19" ht="15.75">
      <c r="A66" s="13">
        <v>43862</v>
      </c>
      <c r="B66" s="8">
        <f>3.7085 * CHOOSE(CONTROL!$C$12, $D$11, 100%, $F$11)</f>
        <v>3.7084999999999999</v>
      </c>
      <c r="C66" s="8">
        <f>3.7189 * CHOOSE(CONTROL!$C$12, $D$11, 100%, $F$11)</f>
        <v>3.7189000000000001</v>
      </c>
      <c r="D66" s="8">
        <f>3.7189 * CHOOSE( CONTROL!$C$12, $D$11, 100%, $F$11)</f>
        <v>3.7189000000000001</v>
      </c>
      <c r="E66" s="12">
        <f>3.7178 * CHOOSE( CONTROL!$C$12, $D$11, 100%, $F$11)</f>
        <v>3.7178</v>
      </c>
      <c r="F66" s="4">
        <f>4.7236 * CHOOSE(CONTROL!$C$12, $D$11, 100%, $F$11)</f>
        <v>4.7236000000000002</v>
      </c>
      <c r="G66" s="8">
        <f>3.6423 * CHOOSE( CONTROL!$C$12, $D$11, 100%, $F$11)</f>
        <v>3.6423000000000001</v>
      </c>
      <c r="H66" s="4">
        <f>4.5282 * CHOOSE(CONTROL!$C$12, $D$11, 100%, $F$11)</f>
        <v>4.5282</v>
      </c>
      <c r="I66" s="8">
        <f>3.6482 * CHOOSE(CONTROL!$C$12, $D$11, 100%, $F$11)</f>
        <v>3.6482000000000001</v>
      </c>
      <c r="J66" s="4">
        <f>3.5487 * CHOOSE(CONTROL!$C$12, $D$11, 100%, $F$11)</f>
        <v>3.5487000000000002</v>
      </c>
      <c r="K66" s="4"/>
      <c r="L66" s="9">
        <v>27.0672</v>
      </c>
      <c r="M66" s="9">
        <v>11.285299999999999</v>
      </c>
      <c r="N66" s="9">
        <v>4.6254999999999997</v>
      </c>
      <c r="O66" s="9">
        <v>0.35039999999999999</v>
      </c>
      <c r="P66" s="9">
        <v>1.2104999999999999</v>
      </c>
      <c r="Q66" s="9">
        <v>20.7211</v>
      </c>
      <c r="R66" s="9"/>
      <c r="S66" s="11"/>
    </row>
    <row r="67" spans="1:19" ht="15.75">
      <c r="A67" s="13">
        <v>43891</v>
      </c>
      <c r="B67" s="8">
        <f>3.6297 * CHOOSE(CONTROL!$C$12, $D$11, 100%, $F$11)</f>
        <v>3.6297000000000001</v>
      </c>
      <c r="C67" s="8">
        <f>3.6401 * CHOOSE(CONTROL!$C$12, $D$11, 100%, $F$11)</f>
        <v>3.6400999999999999</v>
      </c>
      <c r="D67" s="8">
        <f>3.6199 * CHOOSE( CONTROL!$C$12, $D$11, 100%, $F$11)</f>
        <v>3.6198999999999999</v>
      </c>
      <c r="E67" s="12">
        <f>3.6262 * CHOOSE( CONTROL!$C$12, $D$11, 100%, $F$11)</f>
        <v>3.6261999999999999</v>
      </c>
      <c r="F67" s="4">
        <f>4.6286 * CHOOSE(CONTROL!$C$12, $D$11, 100%, $F$11)</f>
        <v>4.6285999999999996</v>
      </c>
      <c r="G67" s="8">
        <f>3.5449 * CHOOSE( CONTROL!$C$12, $D$11, 100%, $F$11)</f>
        <v>3.5449000000000002</v>
      </c>
      <c r="H67" s="4">
        <f>4.4355 * CHOOSE(CONTROL!$C$12, $D$11, 100%, $F$11)</f>
        <v>4.4355000000000002</v>
      </c>
      <c r="I67" s="8">
        <f>3.5331 * CHOOSE(CONTROL!$C$12, $D$11, 100%, $F$11)</f>
        <v>3.5331000000000001</v>
      </c>
      <c r="J67" s="4">
        <f>3.4732 * CHOOSE(CONTROL!$C$12, $D$11, 100%, $F$11)</f>
        <v>3.4731999999999998</v>
      </c>
      <c r="K67" s="4"/>
      <c r="L67" s="9">
        <v>28.933900000000001</v>
      </c>
      <c r="M67" s="9">
        <v>12.063700000000001</v>
      </c>
      <c r="N67" s="9">
        <v>4.9444999999999997</v>
      </c>
      <c r="O67" s="9">
        <v>0.37459999999999999</v>
      </c>
      <c r="P67" s="9">
        <v>1.2939000000000001</v>
      </c>
      <c r="Q67" s="9">
        <v>22.150099999999998</v>
      </c>
      <c r="R67" s="9"/>
      <c r="S67" s="11"/>
    </row>
    <row r="68" spans="1:19" ht="15.75">
      <c r="A68" s="13">
        <v>43922</v>
      </c>
      <c r="B68" s="8">
        <f>3.6848 * CHOOSE(CONTROL!$C$12, $D$11, 100%, $F$11)</f>
        <v>3.6848000000000001</v>
      </c>
      <c r="C68" s="8">
        <f>3.6952 * CHOOSE(CONTROL!$C$12, $D$11, 100%, $F$11)</f>
        <v>3.6951999999999998</v>
      </c>
      <c r="D68" s="8">
        <f>3.6984 * CHOOSE( CONTROL!$C$12, $D$11, 100%, $F$11)</f>
        <v>3.6983999999999999</v>
      </c>
      <c r="E68" s="12">
        <f>3.6962 * CHOOSE( CONTROL!$C$12, $D$11, 100%, $F$11)</f>
        <v>3.6962000000000002</v>
      </c>
      <c r="F68" s="4">
        <f>4.692 * CHOOSE(CONTROL!$C$12, $D$11, 100%, $F$11)</f>
        <v>4.6920000000000002</v>
      </c>
      <c r="G68" s="8">
        <f>3.5865 * CHOOSE( CONTROL!$C$12, $D$11, 100%, $F$11)</f>
        <v>3.5865</v>
      </c>
      <c r="H68" s="4">
        <f>4.4974 * CHOOSE(CONTROL!$C$12, $D$11, 100%, $F$11)</f>
        <v>4.4973999999999998</v>
      </c>
      <c r="I68" s="8">
        <f>3.576 * CHOOSE(CONTROL!$C$12, $D$11, 100%, $F$11)</f>
        <v>3.5760000000000001</v>
      </c>
      <c r="J68" s="4">
        <f>3.526 * CHOOSE(CONTROL!$C$12, $D$11, 100%, $F$11)</f>
        <v>3.5259999999999998</v>
      </c>
      <c r="K68" s="4"/>
      <c r="L68" s="9">
        <v>29.665800000000001</v>
      </c>
      <c r="M68" s="9">
        <v>11.6745</v>
      </c>
      <c r="N68" s="9">
        <v>4.7850000000000001</v>
      </c>
      <c r="O68" s="9">
        <v>0.36249999999999999</v>
      </c>
      <c r="P68" s="9">
        <v>1.1798</v>
      </c>
      <c r="Q68" s="9">
        <v>21.435600000000001</v>
      </c>
      <c r="R68" s="9"/>
      <c r="S68" s="11"/>
    </row>
    <row r="69" spans="1:19" ht="15.75">
      <c r="A69" s="13">
        <v>43952</v>
      </c>
      <c r="B69" s="8">
        <f>CHOOSE( CONTROL!$C$29, 3.787, 3.7828) * CHOOSE(CONTROL!$C$12, $D$11, 100%, $F$11)</f>
        <v>3.7869999999999999</v>
      </c>
      <c r="C69" s="8">
        <f>CHOOSE( CONTROL!$C$29, 3.7975, 3.7932) * CHOOSE(CONTROL!$C$12, $D$11, 100%, $F$11)</f>
        <v>3.7974999999999999</v>
      </c>
      <c r="D69" s="8">
        <f>CHOOSE( CONTROL!$C$29, 3.7754, 3.7712) * CHOOSE( CONTROL!$C$12, $D$11, 100%, $F$11)</f>
        <v>3.7753999999999999</v>
      </c>
      <c r="E69" s="12">
        <f>CHOOSE( CONTROL!$C$29, 3.7818, 3.7776) * CHOOSE( CONTROL!$C$12, $D$11, 100%, $F$11)</f>
        <v>3.7818000000000001</v>
      </c>
      <c r="F69" s="4">
        <f>CHOOSE( CONTROL!$C$29, 4.7619, 4.7577) * CHOOSE(CONTROL!$C$12, $D$11, 100%, $F$11)</f>
        <v>4.7618999999999998</v>
      </c>
      <c r="G69" s="8">
        <f>CHOOSE( CONTROL!$C$29, 3.6675, 3.6633) * CHOOSE( CONTROL!$C$12, $D$11, 100%, $F$11)</f>
        <v>3.6675</v>
      </c>
      <c r="H69" s="4">
        <f>CHOOSE( CONTROL!$C$29, 4.5656, 4.5614) * CHOOSE(CONTROL!$C$12, $D$11, 100%, $F$11)</f>
        <v>4.5655999999999999</v>
      </c>
      <c r="I69" s="8">
        <f>CHOOSE( CONTROL!$C$29, 3.6525, 3.6484) * CHOOSE(CONTROL!$C$12, $D$11, 100%, $F$11)</f>
        <v>3.6524999999999999</v>
      </c>
      <c r="J69" s="4">
        <f>CHOOSE( CONTROL!$C$29, 3.624, 3.6199) * CHOOSE(CONTROL!$C$12, $D$11, 100%, $F$11)</f>
        <v>3.6240000000000001</v>
      </c>
      <c r="K69" s="4"/>
      <c r="L69" s="9">
        <v>30.896899999999999</v>
      </c>
      <c r="M69" s="9">
        <v>12.063700000000001</v>
      </c>
      <c r="N69" s="9">
        <v>4.9444999999999997</v>
      </c>
      <c r="O69" s="9">
        <v>0.37459999999999999</v>
      </c>
      <c r="P69" s="9">
        <v>1.2192000000000001</v>
      </c>
      <c r="Q69" s="9">
        <v>33.225200000000001</v>
      </c>
      <c r="R69" s="9"/>
      <c r="S69" s="11"/>
    </row>
    <row r="70" spans="1:19" ht="15.75">
      <c r="A70" s="13">
        <v>43983</v>
      </c>
      <c r="B70" s="8">
        <f>CHOOSE( CONTROL!$C$29, 3.7263, 3.7221) * CHOOSE(CONTROL!$C$12, $D$11, 100%, $F$11)</f>
        <v>3.7263000000000002</v>
      </c>
      <c r="C70" s="8">
        <f>CHOOSE( CONTROL!$C$29, 3.7367, 3.7325) * CHOOSE(CONTROL!$C$12, $D$11, 100%, $F$11)</f>
        <v>3.7366999999999999</v>
      </c>
      <c r="D70" s="8">
        <f>CHOOSE( CONTROL!$C$29, 3.7091, 3.7048) * CHOOSE( CONTROL!$C$12, $D$11, 100%, $F$11)</f>
        <v>3.7090999999999998</v>
      </c>
      <c r="E70" s="12">
        <f>CHOOSE( CONTROL!$C$29, 3.7175, 3.7133) * CHOOSE( CONTROL!$C$12, $D$11, 100%, $F$11)</f>
        <v>3.7174999999999998</v>
      </c>
      <c r="F70" s="4">
        <f>CHOOSE( CONTROL!$C$29, 4.6908, 4.6865) * CHOOSE(CONTROL!$C$12, $D$11, 100%, $F$11)</f>
        <v>4.6908000000000003</v>
      </c>
      <c r="G70" s="8">
        <f>CHOOSE( CONTROL!$C$29, 3.607, 3.6029) * CHOOSE( CONTROL!$C$12, $D$11, 100%, $F$11)</f>
        <v>3.6070000000000002</v>
      </c>
      <c r="H70" s="4">
        <f>CHOOSE( CONTROL!$C$29, 4.4962, 4.4921) * CHOOSE(CONTROL!$C$12, $D$11, 100%, $F$11)</f>
        <v>4.4962</v>
      </c>
      <c r="I70" s="8">
        <f>CHOOSE( CONTROL!$C$29, 3.5964, 3.5924) * CHOOSE(CONTROL!$C$12, $D$11, 100%, $F$11)</f>
        <v>3.5964</v>
      </c>
      <c r="J70" s="4">
        <f>CHOOSE( CONTROL!$C$29, 3.5658, 3.5617) * CHOOSE(CONTROL!$C$12, $D$11, 100%, $F$11)</f>
        <v>3.5657999999999999</v>
      </c>
      <c r="K70" s="4"/>
      <c r="L70" s="9">
        <v>29.900200000000002</v>
      </c>
      <c r="M70" s="9">
        <v>11.6745</v>
      </c>
      <c r="N70" s="9">
        <v>4.7850000000000001</v>
      </c>
      <c r="O70" s="9">
        <v>0.36249999999999999</v>
      </c>
      <c r="P70" s="9">
        <v>1.1798</v>
      </c>
      <c r="Q70" s="9">
        <v>32.153399999999998</v>
      </c>
      <c r="R70" s="9"/>
      <c r="S70" s="11"/>
    </row>
    <row r="71" spans="1:19" ht="15.75">
      <c r="A71" s="13">
        <v>44013</v>
      </c>
      <c r="B71" s="8">
        <f>CHOOSE( CONTROL!$C$29, 3.8863, 3.882) * CHOOSE(CONTROL!$C$12, $D$11, 100%, $F$11)</f>
        <v>3.8862999999999999</v>
      </c>
      <c r="C71" s="8">
        <f>CHOOSE( CONTROL!$C$29, 3.8967, 3.8924) * CHOOSE(CONTROL!$C$12, $D$11, 100%, $F$11)</f>
        <v>3.8967000000000001</v>
      </c>
      <c r="D71" s="8">
        <f>CHOOSE( CONTROL!$C$29, 3.9028, 3.8986) * CHOOSE( CONTROL!$C$12, $D$11, 100%, $F$11)</f>
        <v>3.9028</v>
      </c>
      <c r="E71" s="12">
        <f>CHOOSE( CONTROL!$C$29, 3.899, 3.8948) * CHOOSE( CONTROL!$C$12, $D$11, 100%, $F$11)</f>
        <v>3.899</v>
      </c>
      <c r="F71" s="4">
        <f>CHOOSE( CONTROL!$C$29, 4.8961, 4.8919) * CHOOSE(CONTROL!$C$12, $D$11, 100%, $F$11)</f>
        <v>4.8960999999999997</v>
      </c>
      <c r="G71" s="8">
        <f>CHOOSE( CONTROL!$C$29, 3.789, 3.7848) * CHOOSE( CONTROL!$C$12, $D$11, 100%, $F$11)</f>
        <v>3.7890000000000001</v>
      </c>
      <c r="H71" s="4">
        <f>CHOOSE( CONTROL!$C$29, 4.6964, 4.6922) * CHOOSE(CONTROL!$C$12, $D$11, 100%, $F$11)</f>
        <v>4.6963999999999997</v>
      </c>
      <c r="I71" s="8">
        <f>CHOOSE( CONTROL!$C$29, 3.8051, 3.801) * CHOOSE(CONTROL!$C$12, $D$11, 100%, $F$11)</f>
        <v>3.8050999999999999</v>
      </c>
      <c r="J71" s="4">
        <f>CHOOSE( CONTROL!$C$29, 3.7191, 3.715) * CHOOSE(CONTROL!$C$12, $D$11, 100%, $F$11)</f>
        <v>3.7191000000000001</v>
      </c>
      <c r="K71" s="4"/>
      <c r="L71" s="9">
        <v>30.896899999999999</v>
      </c>
      <c r="M71" s="9">
        <v>12.063700000000001</v>
      </c>
      <c r="N71" s="9">
        <v>4.9444999999999997</v>
      </c>
      <c r="O71" s="9">
        <v>0.37459999999999999</v>
      </c>
      <c r="P71" s="9">
        <v>1.2192000000000001</v>
      </c>
      <c r="Q71" s="9">
        <v>33.225200000000001</v>
      </c>
      <c r="R71" s="9"/>
      <c r="S71" s="11"/>
    </row>
    <row r="72" spans="1:19" ht="15.75">
      <c r="A72" s="13">
        <v>44044</v>
      </c>
      <c r="B72" s="8">
        <f>CHOOSE( CONTROL!$C$29, 3.587, 3.5827) * CHOOSE(CONTROL!$C$12, $D$11, 100%, $F$11)</f>
        <v>3.5870000000000002</v>
      </c>
      <c r="C72" s="8">
        <f>CHOOSE( CONTROL!$C$29, 3.5974, 3.5932) * CHOOSE(CONTROL!$C$12, $D$11, 100%, $F$11)</f>
        <v>3.5973999999999999</v>
      </c>
      <c r="D72" s="8">
        <f>CHOOSE( CONTROL!$C$29, 3.62, 3.6158) * CHOOSE( CONTROL!$C$12, $D$11, 100%, $F$11)</f>
        <v>3.62</v>
      </c>
      <c r="E72" s="12">
        <f>CHOOSE( CONTROL!$C$29, 3.6102, 3.606) * CHOOSE( CONTROL!$C$12, $D$11, 100%, $F$11)</f>
        <v>3.6101999999999999</v>
      </c>
      <c r="F72" s="4">
        <f>CHOOSE( CONTROL!$C$29, 4.6255, 4.6213) * CHOOSE(CONTROL!$C$12, $D$11, 100%, $F$11)</f>
        <v>4.6254999999999997</v>
      </c>
      <c r="G72" s="8">
        <f>CHOOSE( CONTROL!$C$29, 3.5028, 3.4987) * CHOOSE( CONTROL!$C$12, $D$11, 100%, $F$11)</f>
        <v>3.5028000000000001</v>
      </c>
      <c r="H72" s="4">
        <f>CHOOSE( CONTROL!$C$29, 4.4326, 4.4285) * CHOOSE(CONTROL!$C$12, $D$11, 100%, $F$11)</f>
        <v>4.4325999999999999</v>
      </c>
      <c r="I72" s="8">
        <f>CHOOSE( CONTROL!$C$29, 3.5096, 3.5056) * CHOOSE(CONTROL!$C$12, $D$11, 100%, $F$11)</f>
        <v>3.5095999999999998</v>
      </c>
      <c r="J72" s="4">
        <f>CHOOSE( CONTROL!$C$29, 3.4323, 3.4282) * CHOOSE(CONTROL!$C$12, $D$11, 100%, $F$11)</f>
        <v>3.4323000000000001</v>
      </c>
      <c r="K72" s="4"/>
      <c r="L72" s="9">
        <v>30.896899999999999</v>
      </c>
      <c r="M72" s="9">
        <v>12.063700000000001</v>
      </c>
      <c r="N72" s="9">
        <v>4.9444999999999997</v>
      </c>
      <c r="O72" s="9">
        <v>0.37459999999999999</v>
      </c>
      <c r="P72" s="9">
        <v>1.2192000000000001</v>
      </c>
      <c r="Q72" s="9">
        <v>33.225200000000001</v>
      </c>
      <c r="R72" s="9"/>
      <c r="S72" s="11"/>
    </row>
    <row r="73" spans="1:19" ht="15.75">
      <c r="A73" s="13">
        <v>44075</v>
      </c>
      <c r="B73" s="8">
        <f>CHOOSE( CONTROL!$C$29, 3.512, 3.5078) * CHOOSE(CONTROL!$C$12, $D$11, 100%, $F$11)</f>
        <v>3.512</v>
      </c>
      <c r="C73" s="8">
        <f>CHOOSE( CONTROL!$C$29, 3.5225, 3.5182) * CHOOSE(CONTROL!$C$12, $D$11, 100%, $F$11)</f>
        <v>3.5225</v>
      </c>
      <c r="D73" s="8">
        <f>CHOOSE( CONTROL!$C$29, 3.545, 3.5408) * CHOOSE( CONTROL!$C$12, $D$11, 100%, $F$11)</f>
        <v>3.5449999999999999</v>
      </c>
      <c r="E73" s="12">
        <f>CHOOSE( CONTROL!$C$29, 3.5352, 3.531) * CHOOSE( CONTROL!$C$12, $D$11, 100%, $F$11)</f>
        <v>3.5352000000000001</v>
      </c>
      <c r="F73" s="4">
        <f>CHOOSE( CONTROL!$C$29, 4.5506, 4.5464) * CHOOSE(CONTROL!$C$12, $D$11, 100%, $F$11)</f>
        <v>4.5506000000000002</v>
      </c>
      <c r="G73" s="8">
        <f>CHOOSE( CONTROL!$C$29, 3.4295, 3.4253) * CHOOSE( CONTROL!$C$12, $D$11, 100%, $F$11)</f>
        <v>3.4295</v>
      </c>
      <c r="H73" s="4">
        <f>CHOOSE( CONTROL!$C$29, 4.3595, 4.3554) * CHOOSE(CONTROL!$C$12, $D$11, 100%, $F$11)</f>
        <v>4.3594999999999997</v>
      </c>
      <c r="I73" s="8">
        <f>CHOOSE( CONTROL!$C$29, 3.4361, 3.432) * CHOOSE(CONTROL!$C$12, $D$11, 100%, $F$11)</f>
        <v>3.4361000000000002</v>
      </c>
      <c r="J73" s="4">
        <f>CHOOSE( CONTROL!$C$29, 3.3605, 3.3564) * CHOOSE(CONTROL!$C$12, $D$11, 100%, $F$11)</f>
        <v>3.3605</v>
      </c>
      <c r="K73" s="4"/>
      <c r="L73" s="9">
        <v>29.900200000000002</v>
      </c>
      <c r="M73" s="9">
        <v>11.6745</v>
      </c>
      <c r="N73" s="9">
        <v>4.7850000000000001</v>
      </c>
      <c r="O73" s="9">
        <v>0.36249999999999999</v>
      </c>
      <c r="P73" s="9">
        <v>1.1798</v>
      </c>
      <c r="Q73" s="9">
        <v>32.153399999999998</v>
      </c>
      <c r="R73" s="9"/>
      <c r="S73" s="11"/>
    </row>
    <row r="74" spans="1:19" ht="15.75">
      <c r="A74" s="13">
        <v>44105</v>
      </c>
      <c r="B74" s="8">
        <f>3.6634 * CHOOSE(CONTROL!$C$12, $D$11, 100%, $F$11)</f>
        <v>3.6634000000000002</v>
      </c>
      <c r="C74" s="8">
        <f>3.6738 * CHOOSE(CONTROL!$C$12, $D$11, 100%, $F$11)</f>
        <v>3.6738</v>
      </c>
      <c r="D74" s="8">
        <f>3.6783 * CHOOSE( CONTROL!$C$12, $D$11, 100%, $F$11)</f>
        <v>3.6783000000000001</v>
      </c>
      <c r="E74" s="12">
        <f>3.6757 * CHOOSE( CONTROL!$C$12, $D$11, 100%, $F$11)</f>
        <v>3.6757</v>
      </c>
      <c r="F74" s="4">
        <f>4.6707 * CHOOSE(CONTROL!$C$12, $D$11, 100%, $F$11)</f>
        <v>4.6707000000000001</v>
      </c>
      <c r="G74" s="8">
        <f>3.5673 * CHOOSE( CONTROL!$C$12, $D$11, 100%, $F$11)</f>
        <v>3.5672999999999999</v>
      </c>
      <c r="H74" s="4">
        <f>4.4766 * CHOOSE(CONTROL!$C$12, $D$11, 100%, $F$11)</f>
        <v>4.4766000000000004</v>
      </c>
      <c r="I74" s="8">
        <f>3.5778 * CHOOSE(CONTROL!$C$12, $D$11, 100%, $F$11)</f>
        <v>3.5777999999999999</v>
      </c>
      <c r="J74" s="4">
        <f>3.5055 * CHOOSE(CONTROL!$C$12, $D$11, 100%, $F$11)</f>
        <v>3.5055000000000001</v>
      </c>
      <c r="K74" s="4"/>
      <c r="L74" s="9">
        <v>30.654699999999998</v>
      </c>
      <c r="M74" s="9">
        <v>12.063700000000001</v>
      </c>
      <c r="N74" s="9">
        <v>4.9444999999999997</v>
      </c>
      <c r="O74" s="9">
        <v>0.37459999999999999</v>
      </c>
      <c r="P74" s="9">
        <v>1.2192000000000001</v>
      </c>
      <c r="Q74" s="9">
        <v>33.225200000000001</v>
      </c>
      <c r="R74" s="9"/>
      <c r="S74" s="11"/>
    </row>
    <row r="75" spans="1:19" ht="15.75">
      <c r="A75" s="13">
        <v>44136</v>
      </c>
      <c r="B75" s="8">
        <f>3.9506 * CHOOSE(CONTROL!$C$12, $D$11, 100%, $F$11)</f>
        <v>3.9506000000000001</v>
      </c>
      <c r="C75" s="8">
        <f>3.9611 * CHOOSE(CONTROL!$C$12, $D$11, 100%, $F$11)</f>
        <v>3.9611000000000001</v>
      </c>
      <c r="D75" s="8">
        <f>3.9434 * CHOOSE( CONTROL!$C$12, $D$11, 100%, $F$11)</f>
        <v>3.9434</v>
      </c>
      <c r="E75" s="12">
        <f>3.9488 * CHOOSE( CONTROL!$C$12, $D$11, 100%, $F$11)</f>
        <v>3.9487999999999999</v>
      </c>
      <c r="F75" s="4">
        <f>4.9448 * CHOOSE(CONTROL!$C$12, $D$11, 100%, $F$11)</f>
        <v>4.9447999999999999</v>
      </c>
      <c r="G75" s="8">
        <f>3.8597 * CHOOSE( CONTROL!$C$12, $D$11, 100%, $F$11)</f>
        <v>3.8597000000000001</v>
      </c>
      <c r="H75" s="4">
        <f>4.7438 * CHOOSE(CONTROL!$C$12, $D$11, 100%, $F$11)</f>
        <v>4.7438000000000002</v>
      </c>
      <c r="I75" s="8">
        <f>3.8766 * CHOOSE(CONTROL!$C$12, $D$11, 100%, $F$11)</f>
        <v>3.8765999999999998</v>
      </c>
      <c r="J75" s="4">
        <f>3.7807 * CHOOSE(CONTROL!$C$12, $D$11, 100%, $F$11)</f>
        <v>3.7806999999999999</v>
      </c>
      <c r="K75" s="4"/>
      <c r="L75" s="9">
        <v>28.000499999999999</v>
      </c>
      <c r="M75" s="9">
        <v>11.6745</v>
      </c>
      <c r="N75" s="9">
        <v>4.7850000000000001</v>
      </c>
      <c r="O75" s="9">
        <v>0.36249999999999999</v>
      </c>
      <c r="P75" s="9">
        <v>1.2522</v>
      </c>
      <c r="Q75" s="9">
        <v>32.153399999999998</v>
      </c>
      <c r="R75" s="9"/>
      <c r="S75" s="11"/>
    </row>
    <row r="76" spans="1:19" ht="15.75">
      <c r="A76" s="13">
        <v>44166</v>
      </c>
      <c r="B76" s="8">
        <f>3.9434 * CHOOSE(CONTROL!$C$12, $D$11, 100%, $F$11)</f>
        <v>3.9434</v>
      </c>
      <c r="C76" s="8">
        <f>3.9539 * CHOOSE(CONTROL!$C$12, $D$11, 100%, $F$11)</f>
        <v>3.9539</v>
      </c>
      <c r="D76" s="8">
        <f>3.9383 * CHOOSE( CONTROL!$C$12, $D$11, 100%, $F$11)</f>
        <v>3.9382999999999999</v>
      </c>
      <c r="E76" s="12">
        <f>3.9429 * CHOOSE( CONTROL!$C$12, $D$11, 100%, $F$11)</f>
        <v>3.9428999999999998</v>
      </c>
      <c r="F76" s="4">
        <f>4.9376 * CHOOSE(CONTROL!$C$12, $D$11, 100%, $F$11)</f>
        <v>4.9375999999999998</v>
      </c>
      <c r="G76" s="8">
        <f>3.8543 * CHOOSE( CONTROL!$C$12, $D$11, 100%, $F$11)</f>
        <v>3.8542999999999998</v>
      </c>
      <c r="H76" s="4">
        <f>4.7368 * CHOOSE(CONTROL!$C$12, $D$11, 100%, $F$11)</f>
        <v>4.7367999999999997</v>
      </c>
      <c r="I76" s="8">
        <f>3.877 * CHOOSE(CONTROL!$C$12, $D$11, 100%, $F$11)</f>
        <v>3.8769999999999998</v>
      </c>
      <c r="J76" s="4">
        <f>3.7738 * CHOOSE(CONTROL!$C$12, $D$11, 100%, $F$11)</f>
        <v>3.7738</v>
      </c>
      <c r="K76" s="4"/>
      <c r="L76" s="9">
        <v>28.933900000000001</v>
      </c>
      <c r="M76" s="9">
        <v>12.063700000000001</v>
      </c>
      <c r="N76" s="9">
        <v>4.9444999999999997</v>
      </c>
      <c r="O76" s="9">
        <v>0.37459999999999999</v>
      </c>
      <c r="P76" s="9">
        <v>1.2939000000000001</v>
      </c>
      <c r="Q76" s="9">
        <v>33.225200000000001</v>
      </c>
      <c r="R76" s="9"/>
      <c r="S76" s="11"/>
    </row>
    <row r="77" spans="1:19" ht="15.75">
      <c r="A77" s="13">
        <v>44197</v>
      </c>
      <c r="B77" s="8">
        <f>4.4683 * CHOOSE(CONTROL!$C$12, $D$11, 100%, $F$11)</f>
        <v>4.4683000000000002</v>
      </c>
      <c r="C77" s="8">
        <f>4.4788 * CHOOSE(CONTROL!$C$12, $D$11, 100%, $F$11)</f>
        <v>4.4787999999999997</v>
      </c>
      <c r="D77" s="8">
        <f>4.4764 * CHOOSE( CONTROL!$C$12, $D$11, 100%, $F$11)</f>
        <v>4.4763999999999999</v>
      </c>
      <c r="E77" s="12">
        <f>4.4762 * CHOOSE( CONTROL!$C$12, $D$11, 100%, $F$11)</f>
        <v>4.4762000000000004</v>
      </c>
      <c r="F77" s="4">
        <f>5.4913 * CHOOSE(CONTROL!$C$12, $D$11, 100%, $F$11)</f>
        <v>5.4912999999999998</v>
      </c>
      <c r="G77" s="8">
        <f>4.3831 * CHOOSE( CONTROL!$C$12, $D$11, 100%, $F$11)</f>
        <v>4.3830999999999998</v>
      </c>
      <c r="H77" s="4">
        <f>5.2765 * CHOOSE(CONTROL!$C$12, $D$11, 100%, $F$11)</f>
        <v>5.2765000000000004</v>
      </c>
      <c r="I77" s="8">
        <f>4.3875 * CHOOSE(CONTROL!$C$12, $D$11, 100%, $F$11)</f>
        <v>4.3875000000000002</v>
      </c>
      <c r="J77" s="4">
        <f>4.2768 * CHOOSE(CONTROL!$C$12, $D$11, 100%, $F$11)</f>
        <v>4.2767999999999997</v>
      </c>
      <c r="K77" s="4"/>
      <c r="L77" s="9">
        <v>28.933900000000001</v>
      </c>
      <c r="M77" s="9">
        <v>12.063700000000001</v>
      </c>
      <c r="N77" s="9">
        <v>4.9444999999999997</v>
      </c>
      <c r="O77" s="9">
        <v>0.37459999999999999</v>
      </c>
      <c r="P77" s="9">
        <v>1.2939000000000001</v>
      </c>
      <c r="Q77" s="9">
        <v>33.011299999999999</v>
      </c>
      <c r="R77" s="9"/>
      <c r="S77" s="11"/>
    </row>
    <row r="78" spans="1:19" ht="15.75">
      <c r="A78" s="13">
        <v>44228</v>
      </c>
      <c r="B78" s="8">
        <f>4.1798 * CHOOSE(CONTROL!$C$12, $D$11, 100%, $F$11)</f>
        <v>4.1798000000000002</v>
      </c>
      <c r="C78" s="8">
        <f>4.1902 * CHOOSE(CONTROL!$C$12, $D$11, 100%, $F$11)</f>
        <v>4.1901999999999999</v>
      </c>
      <c r="D78" s="8">
        <f>4.1902 * CHOOSE( CONTROL!$C$12, $D$11, 100%, $F$11)</f>
        <v>4.1901999999999999</v>
      </c>
      <c r="E78" s="12">
        <f>4.1891 * CHOOSE( CONTROL!$C$12, $D$11, 100%, $F$11)</f>
        <v>4.1890999999999998</v>
      </c>
      <c r="F78" s="4">
        <f>5.1949 * CHOOSE(CONTROL!$C$12, $D$11, 100%, $F$11)</f>
        <v>5.1948999999999996</v>
      </c>
      <c r="G78" s="8">
        <f>4.1017 * CHOOSE( CONTROL!$C$12, $D$11, 100%, $F$11)</f>
        <v>4.1017000000000001</v>
      </c>
      <c r="H78" s="4">
        <f>4.9876 * CHOOSE(CONTROL!$C$12, $D$11, 100%, $F$11)</f>
        <v>4.9875999999999996</v>
      </c>
      <c r="I78" s="8">
        <f>4.1 * CHOOSE(CONTROL!$C$12, $D$11, 100%, $F$11)</f>
        <v>4.0999999999999996</v>
      </c>
      <c r="J78" s="4">
        <f>4.0003 * CHOOSE(CONTROL!$C$12, $D$11, 100%, $F$11)</f>
        <v>4.0003000000000002</v>
      </c>
      <c r="K78" s="4"/>
      <c r="L78" s="9">
        <v>26.133800000000001</v>
      </c>
      <c r="M78" s="9">
        <v>10.8962</v>
      </c>
      <c r="N78" s="9">
        <v>4.4660000000000002</v>
      </c>
      <c r="O78" s="9">
        <v>0.33829999999999999</v>
      </c>
      <c r="P78" s="9">
        <v>1.1687000000000001</v>
      </c>
      <c r="Q78" s="9">
        <v>29.816600000000001</v>
      </c>
      <c r="R78" s="9"/>
      <c r="S78" s="11"/>
    </row>
    <row r="79" spans="1:19" ht="15.75">
      <c r="A79" s="13">
        <v>44256</v>
      </c>
      <c r="B79" s="8">
        <f>4.0909 * CHOOSE(CONTROL!$C$12, $D$11, 100%, $F$11)</f>
        <v>4.0909000000000004</v>
      </c>
      <c r="C79" s="8">
        <f>4.1014 * CHOOSE(CONTROL!$C$12, $D$11, 100%, $F$11)</f>
        <v>4.1013999999999999</v>
      </c>
      <c r="D79" s="8">
        <f>4.0812 * CHOOSE( CONTROL!$C$12, $D$11, 100%, $F$11)</f>
        <v>4.0811999999999999</v>
      </c>
      <c r="E79" s="12">
        <f>4.0875 * CHOOSE( CONTROL!$C$12, $D$11, 100%, $F$11)</f>
        <v>4.0875000000000004</v>
      </c>
      <c r="F79" s="4">
        <f>5.0898 * CHOOSE(CONTROL!$C$12, $D$11, 100%, $F$11)</f>
        <v>5.0898000000000003</v>
      </c>
      <c r="G79" s="8">
        <f>3.9946 * CHOOSE( CONTROL!$C$12, $D$11, 100%, $F$11)</f>
        <v>3.9946000000000002</v>
      </c>
      <c r="H79" s="4">
        <f>4.8852 * CHOOSE(CONTROL!$C$12, $D$11, 100%, $F$11)</f>
        <v>4.8852000000000002</v>
      </c>
      <c r="I79" s="8">
        <f>3.9753 * CHOOSE(CONTROL!$C$12, $D$11, 100%, $F$11)</f>
        <v>3.9752999999999998</v>
      </c>
      <c r="J79" s="4">
        <f>3.9152 * CHOOSE(CONTROL!$C$12, $D$11, 100%, $F$11)</f>
        <v>3.9152</v>
      </c>
      <c r="K79" s="4"/>
      <c r="L79" s="9">
        <v>28.933900000000001</v>
      </c>
      <c r="M79" s="9">
        <v>12.063700000000001</v>
      </c>
      <c r="N79" s="9">
        <v>4.9444999999999997</v>
      </c>
      <c r="O79" s="9">
        <v>0.37459999999999999</v>
      </c>
      <c r="P79" s="9">
        <v>1.2939000000000001</v>
      </c>
      <c r="Q79" s="9">
        <v>33.011299999999999</v>
      </c>
      <c r="R79" s="9"/>
      <c r="S79" s="11"/>
    </row>
    <row r="80" spans="1:19" ht="15.75">
      <c r="A80" s="13">
        <v>44287</v>
      </c>
      <c r="B80" s="8">
        <f>4.153 * CHOOSE(CONTROL!$C$12, $D$11, 100%, $F$11)</f>
        <v>4.1529999999999996</v>
      </c>
      <c r="C80" s="8">
        <f>4.1635 * CHOOSE(CONTROL!$C$12, $D$11, 100%, $F$11)</f>
        <v>4.1635</v>
      </c>
      <c r="D80" s="8">
        <f>4.1667 * CHOOSE( CONTROL!$C$12, $D$11, 100%, $F$11)</f>
        <v>4.1666999999999996</v>
      </c>
      <c r="E80" s="12">
        <f>4.1644 * CHOOSE( CONTROL!$C$12, $D$11, 100%, $F$11)</f>
        <v>4.1643999999999997</v>
      </c>
      <c r="F80" s="4">
        <f>5.1603 * CHOOSE(CONTROL!$C$12, $D$11, 100%, $F$11)</f>
        <v>5.1603000000000003</v>
      </c>
      <c r="G80" s="8">
        <f>4.043 * CHOOSE( CONTROL!$C$12, $D$11, 100%, $F$11)</f>
        <v>4.0430000000000001</v>
      </c>
      <c r="H80" s="4">
        <f>4.9538 * CHOOSE(CONTROL!$C$12, $D$11, 100%, $F$11)</f>
        <v>4.9538000000000002</v>
      </c>
      <c r="I80" s="8">
        <f>4.0249 * CHOOSE(CONTROL!$C$12, $D$11, 100%, $F$11)</f>
        <v>4.0248999999999997</v>
      </c>
      <c r="J80" s="4">
        <f>3.9747 * CHOOSE(CONTROL!$C$12, $D$11, 100%, $F$11)</f>
        <v>3.9746999999999999</v>
      </c>
      <c r="K80" s="4"/>
      <c r="L80" s="9">
        <v>29.665800000000001</v>
      </c>
      <c r="M80" s="9">
        <v>11.6745</v>
      </c>
      <c r="N80" s="9">
        <v>4.7850000000000001</v>
      </c>
      <c r="O80" s="9">
        <v>0.36249999999999999</v>
      </c>
      <c r="P80" s="9">
        <v>1.1798</v>
      </c>
      <c r="Q80" s="9">
        <v>31.946400000000001</v>
      </c>
      <c r="R80" s="9"/>
      <c r="S80" s="11"/>
    </row>
    <row r="81" spans="1:19" ht="15.75">
      <c r="A81" s="13">
        <v>44317</v>
      </c>
      <c r="B81" s="8">
        <f>CHOOSE( CONTROL!$C$29, 4.2678, 4.2636) * CHOOSE(CONTROL!$C$12, $D$11, 100%, $F$11)</f>
        <v>4.2678000000000003</v>
      </c>
      <c r="C81" s="8">
        <f>CHOOSE( CONTROL!$C$29, 4.2782, 4.274) * CHOOSE(CONTROL!$C$12, $D$11, 100%, $F$11)</f>
        <v>4.2782</v>
      </c>
      <c r="D81" s="8">
        <f>CHOOSE( CONTROL!$C$29, 4.2561, 4.2519) * CHOOSE( CONTROL!$C$12, $D$11, 100%, $F$11)</f>
        <v>4.2561</v>
      </c>
      <c r="E81" s="12">
        <f>CHOOSE( CONTROL!$C$29, 4.2625, 4.2583) * CHOOSE( CONTROL!$C$12, $D$11, 100%, $F$11)</f>
        <v>4.2625000000000002</v>
      </c>
      <c r="F81" s="4">
        <f>CHOOSE( CONTROL!$C$29, 5.2427, 5.2385) * CHOOSE(CONTROL!$C$12, $D$11, 100%, $F$11)</f>
        <v>5.2427000000000001</v>
      </c>
      <c r="G81" s="8">
        <f>CHOOSE( CONTROL!$C$29, 4.1361, 4.132) * CHOOSE( CONTROL!$C$12, $D$11, 100%, $F$11)</f>
        <v>4.1360999999999999</v>
      </c>
      <c r="H81" s="4">
        <f>CHOOSE( CONTROL!$C$29, 5.0342, 5.0301) * CHOOSE(CONTROL!$C$12, $D$11, 100%, $F$11)</f>
        <v>5.0342000000000002</v>
      </c>
      <c r="I81" s="8">
        <f>CHOOSE( CONTROL!$C$29, 4.1134, 4.1093) * CHOOSE(CONTROL!$C$12, $D$11, 100%, $F$11)</f>
        <v>4.1134000000000004</v>
      </c>
      <c r="J81" s="4">
        <f>CHOOSE( CONTROL!$C$29, 4.0846, 4.0806) * CHOOSE(CONTROL!$C$12, $D$11, 100%, $F$11)</f>
        <v>4.0846</v>
      </c>
      <c r="K81" s="4"/>
      <c r="L81" s="9">
        <v>30.896899999999999</v>
      </c>
      <c r="M81" s="9">
        <v>12.063700000000001</v>
      </c>
      <c r="N81" s="9">
        <v>4.9444999999999997</v>
      </c>
      <c r="O81" s="9">
        <v>0.37459999999999999</v>
      </c>
      <c r="P81" s="9">
        <v>1.2192000000000001</v>
      </c>
      <c r="Q81" s="9">
        <v>33.011299999999999</v>
      </c>
      <c r="R81" s="9"/>
      <c r="S81" s="11"/>
    </row>
    <row r="82" spans="1:19" ht="15.75">
      <c r="A82" s="13">
        <v>44348</v>
      </c>
      <c r="B82" s="8">
        <f>CHOOSE( CONTROL!$C$29, 4.1993, 4.1951) * CHOOSE(CONTROL!$C$12, $D$11, 100%, $F$11)</f>
        <v>4.1993</v>
      </c>
      <c r="C82" s="8">
        <f>CHOOSE( CONTROL!$C$29, 4.2098, 4.2055) * CHOOSE(CONTROL!$C$12, $D$11, 100%, $F$11)</f>
        <v>4.2098000000000004</v>
      </c>
      <c r="D82" s="8">
        <f>CHOOSE( CONTROL!$C$29, 4.1821, 4.1778) * CHOOSE( CONTROL!$C$12, $D$11, 100%, $F$11)</f>
        <v>4.1821000000000002</v>
      </c>
      <c r="E82" s="12">
        <f>CHOOSE( CONTROL!$C$29, 4.1905, 4.1863) * CHOOSE( CONTROL!$C$12, $D$11, 100%, $F$11)</f>
        <v>4.1905000000000001</v>
      </c>
      <c r="F82" s="4">
        <f>CHOOSE( CONTROL!$C$29, 5.1638, 5.1595) * CHOOSE(CONTROL!$C$12, $D$11, 100%, $F$11)</f>
        <v>5.1638000000000002</v>
      </c>
      <c r="G82" s="8">
        <f>CHOOSE( CONTROL!$C$29, 4.0681, 4.0639) * CHOOSE( CONTROL!$C$12, $D$11, 100%, $F$11)</f>
        <v>4.0681000000000003</v>
      </c>
      <c r="H82" s="4">
        <f>CHOOSE( CONTROL!$C$29, 4.9573, 4.9531) * CHOOSE(CONTROL!$C$12, $D$11, 100%, $F$11)</f>
        <v>4.9573</v>
      </c>
      <c r="I82" s="8">
        <f>CHOOSE( CONTROL!$C$29, 4.0499, 4.0458) * CHOOSE(CONTROL!$C$12, $D$11, 100%, $F$11)</f>
        <v>4.0499000000000001</v>
      </c>
      <c r="J82" s="4">
        <f>CHOOSE( CONTROL!$C$29, 4.019, 4.015) * CHOOSE(CONTROL!$C$12, $D$11, 100%, $F$11)</f>
        <v>4.0190000000000001</v>
      </c>
      <c r="K82" s="4"/>
      <c r="L82" s="9">
        <v>29.900200000000002</v>
      </c>
      <c r="M82" s="9">
        <v>11.6745</v>
      </c>
      <c r="N82" s="9">
        <v>4.7850000000000001</v>
      </c>
      <c r="O82" s="9">
        <v>0.36249999999999999</v>
      </c>
      <c r="P82" s="9">
        <v>1.1798</v>
      </c>
      <c r="Q82" s="9">
        <v>31.946400000000001</v>
      </c>
      <c r="R82" s="9"/>
      <c r="S82" s="11"/>
    </row>
    <row r="83" spans="1:19" ht="15.75">
      <c r="A83" s="13">
        <v>44378</v>
      </c>
      <c r="B83" s="8">
        <f>CHOOSE( CONTROL!$C$29, 4.3796, 4.3754) * CHOOSE(CONTROL!$C$12, $D$11, 100%, $F$11)</f>
        <v>4.3795999999999999</v>
      </c>
      <c r="C83" s="8">
        <f>CHOOSE( CONTROL!$C$29, 4.3901, 4.3858) * CHOOSE(CONTROL!$C$12, $D$11, 100%, $F$11)</f>
        <v>4.3901000000000003</v>
      </c>
      <c r="D83" s="8">
        <f>CHOOSE( CONTROL!$C$29, 4.3962, 4.3919) * CHOOSE( CONTROL!$C$12, $D$11, 100%, $F$11)</f>
        <v>4.3962000000000003</v>
      </c>
      <c r="E83" s="12">
        <f>CHOOSE( CONTROL!$C$29, 4.3924, 4.3881) * CHOOSE( CONTROL!$C$12, $D$11, 100%, $F$11)</f>
        <v>4.3924000000000003</v>
      </c>
      <c r="F83" s="4">
        <f>CHOOSE( CONTROL!$C$29, 5.3895, 5.3852) * CHOOSE(CONTROL!$C$12, $D$11, 100%, $F$11)</f>
        <v>5.3895</v>
      </c>
      <c r="G83" s="8">
        <f>CHOOSE( CONTROL!$C$29, 4.2699, 4.2657) * CHOOSE( CONTROL!$C$12, $D$11, 100%, $F$11)</f>
        <v>4.2698999999999998</v>
      </c>
      <c r="H83" s="4">
        <f>CHOOSE( CONTROL!$C$29, 5.1773, 5.1731) * CHOOSE(CONTROL!$C$12, $D$11, 100%, $F$11)</f>
        <v>5.1772999999999998</v>
      </c>
      <c r="I83" s="8">
        <f>CHOOSE( CONTROL!$C$29, 4.278, 4.274) * CHOOSE(CONTROL!$C$12, $D$11, 100%, $F$11)</f>
        <v>4.2779999999999996</v>
      </c>
      <c r="J83" s="4">
        <f>CHOOSE( CONTROL!$C$29, 4.1918, 4.1877) * CHOOSE(CONTROL!$C$12, $D$11, 100%, $F$11)</f>
        <v>4.1917999999999997</v>
      </c>
      <c r="K83" s="4"/>
      <c r="L83" s="9">
        <v>30.896899999999999</v>
      </c>
      <c r="M83" s="9">
        <v>12.063700000000001</v>
      </c>
      <c r="N83" s="9">
        <v>4.9444999999999997</v>
      </c>
      <c r="O83" s="9">
        <v>0.37459999999999999</v>
      </c>
      <c r="P83" s="9">
        <v>1.2192000000000001</v>
      </c>
      <c r="Q83" s="9">
        <v>33.011299999999999</v>
      </c>
      <c r="R83" s="9"/>
      <c r="S83" s="11"/>
    </row>
    <row r="84" spans="1:19" ht="15.75">
      <c r="A84" s="13">
        <v>44409</v>
      </c>
      <c r="B84" s="8">
        <f>CHOOSE( CONTROL!$C$29, 4.0423, 4.038) * CHOOSE(CONTROL!$C$12, $D$11, 100%, $F$11)</f>
        <v>4.0423</v>
      </c>
      <c r="C84" s="8">
        <f>CHOOSE( CONTROL!$C$29, 4.0527, 4.0485) * CHOOSE(CONTROL!$C$12, $D$11, 100%, $F$11)</f>
        <v>4.0526999999999997</v>
      </c>
      <c r="D84" s="8">
        <f>CHOOSE( CONTROL!$C$29, 4.0753, 4.0711) * CHOOSE( CONTROL!$C$12, $D$11, 100%, $F$11)</f>
        <v>4.0753000000000004</v>
      </c>
      <c r="E84" s="12">
        <f>CHOOSE( CONTROL!$C$29, 4.0655, 4.0613) * CHOOSE( CONTROL!$C$12, $D$11, 100%, $F$11)</f>
        <v>4.0655000000000001</v>
      </c>
      <c r="F84" s="4">
        <f>CHOOSE( CONTROL!$C$29, 5.0808, 5.0766) * CHOOSE(CONTROL!$C$12, $D$11, 100%, $F$11)</f>
        <v>5.0808</v>
      </c>
      <c r="G84" s="8">
        <f>CHOOSE( CONTROL!$C$29, 3.9466, 3.9425) * CHOOSE( CONTROL!$C$12, $D$11, 100%, $F$11)</f>
        <v>3.9466000000000001</v>
      </c>
      <c r="H84" s="4">
        <f>CHOOSE( CONTROL!$C$29, 4.8764, 4.8723) * CHOOSE(CONTROL!$C$12, $D$11, 100%, $F$11)</f>
        <v>4.8764000000000003</v>
      </c>
      <c r="I84" s="8">
        <f>CHOOSE( CONTROL!$C$29, 3.9461, 3.942) * CHOOSE(CONTROL!$C$12, $D$11, 100%, $F$11)</f>
        <v>3.9460999999999999</v>
      </c>
      <c r="J84" s="4">
        <f>CHOOSE( CONTROL!$C$29, 3.8685, 3.8645) * CHOOSE(CONTROL!$C$12, $D$11, 100%, $F$11)</f>
        <v>3.8685</v>
      </c>
      <c r="K84" s="4"/>
      <c r="L84" s="9">
        <v>30.896899999999999</v>
      </c>
      <c r="M84" s="9">
        <v>12.063700000000001</v>
      </c>
      <c r="N84" s="9">
        <v>4.9444999999999997</v>
      </c>
      <c r="O84" s="9">
        <v>0.37459999999999999</v>
      </c>
      <c r="P84" s="9">
        <v>1.2192000000000001</v>
      </c>
      <c r="Q84" s="9">
        <v>33.011299999999999</v>
      </c>
      <c r="R84" s="9"/>
      <c r="S84" s="11"/>
    </row>
    <row r="85" spans="1:19" ht="15.75">
      <c r="A85" s="13">
        <v>44440</v>
      </c>
      <c r="B85" s="8">
        <f>CHOOSE( CONTROL!$C$29, 3.9578, 3.9535) * CHOOSE(CONTROL!$C$12, $D$11, 100%, $F$11)</f>
        <v>3.9578000000000002</v>
      </c>
      <c r="C85" s="8">
        <f>CHOOSE( CONTROL!$C$29, 3.9682, 3.964) * CHOOSE(CONTROL!$C$12, $D$11, 100%, $F$11)</f>
        <v>3.9681999999999999</v>
      </c>
      <c r="D85" s="8">
        <f>CHOOSE( CONTROL!$C$29, 3.9908, 3.9865) * CHOOSE( CONTROL!$C$12, $D$11, 100%, $F$11)</f>
        <v>3.9908000000000001</v>
      </c>
      <c r="E85" s="12">
        <f>CHOOSE( CONTROL!$C$29, 3.981, 3.9767) * CHOOSE( CONTROL!$C$12, $D$11, 100%, $F$11)</f>
        <v>3.9809999999999999</v>
      </c>
      <c r="F85" s="4">
        <f>CHOOSE( CONTROL!$C$29, 4.9963, 4.9921) * CHOOSE(CONTROL!$C$12, $D$11, 100%, $F$11)</f>
        <v>4.9962999999999997</v>
      </c>
      <c r="G85" s="8">
        <f>CHOOSE( CONTROL!$C$29, 3.864, 3.8598) * CHOOSE( CONTROL!$C$12, $D$11, 100%, $F$11)</f>
        <v>3.8639999999999999</v>
      </c>
      <c r="H85" s="4">
        <f>CHOOSE( CONTROL!$C$29, 4.7941, 4.7899) * CHOOSE(CONTROL!$C$12, $D$11, 100%, $F$11)</f>
        <v>4.7941000000000003</v>
      </c>
      <c r="I85" s="8">
        <f>CHOOSE( CONTROL!$C$29, 3.8634, 3.8593) * CHOOSE(CONTROL!$C$12, $D$11, 100%, $F$11)</f>
        <v>3.8633999999999999</v>
      </c>
      <c r="J85" s="4">
        <f>CHOOSE( CONTROL!$C$29, 3.7876, 3.7835) * CHOOSE(CONTROL!$C$12, $D$11, 100%, $F$11)</f>
        <v>3.7875999999999999</v>
      </c>
      <c r="K85" s="4"/>
      <c r="L85" s="9">
        <v>29.900200000000002</v>
      </c>
      <c r="M85" s="9">
        <v>11.6745</v>
      </c>
      <c r="N85" s="9">
        <v>4.7850000000000001</v>
      </c>
      <c r="O85" s="9">
        <v>0.36249999999999999</v>
      </c>
      <c r="P85" s="9">
        <v>1.1798</v>
      </c>
      <c r="Q85" s="9">
        <v>31.946400000000001</v>
      </c>
      <c r="R85" s="9"/>
      <c r="S85" s="11"/>
    </row>
    <row r="86" spans="1:19" ht="15.75">
      <c r="A86" s="13">
        <v>44470</v>
      </c>
      <c r="B86" s="8">
        <f>4.129 * CHOOSE(CONTROL!$C$12, $D$11, 100%, $F$11)</f>
        <v>4.1289999999999996</v>
      </c>
      <c r="C86" s="8">
        <f>4.1394 * CHOOSE(CONTROL!$C$12, $D$11, 100%, $F$11)</f>
        <v>4.1394000000000002</v>
      </c>
      <c r="D86" s="8">
        <f>4.1438 * CHOOSE( CONTROL!$C$12, $D$11, 100%, $F$11)</f>
        <v>4.1437999999999997</v>
      </c>
      <c r="E86" s="12">
        <f>4.1412 * CHOOSE( CONTROL!$C$12, $D$11, 100%, $F$11)</f>
        <v>4.1412000000000004</v>
      </c>
      <c r="F86" s="4">
        <f>5.1362 * CHOOSE(CONTROL!$C$12, $D$11, 100%, $F$11)</f>
        <v>5.1361999999999997</v>
      </c>
      <c r="G86" s="8">
        <f>4.0211 * CHOOSE( CONTROL!$C$12, $D$11, 100%, $F$11)</f>
        <v>4.0210999999999997</v>
      </c>
      <c r="H86" s="4">
        <f>4.9304 * CHOOSE(CONTROL!$C$12, $D$11, 100%, $F$11)</f>
        <v>4.9303999999999997</v>
      </c>
      <c r="I86" s="8">
        <f>4.0241 * CHOOSE(CONTROL!$C$12, $D$11, 100%, $F$11)</f>
        <v>4.0240999999999998</v>
      </c>
      <c r="J86" s="4">
        <f>3.9516 * CHOOSE(CONTROL!$C$12, $D$11, 100%, $F$11)</f>
        <v>3.9516</v>
      </c>
      <c r="K86" s="4"/>
      <c r="L86" s="9">
        <v>30.654699999999998</v>
      </c>
      <c r="M86" s="9">
        <v>12.063700000000001</v>
      </c>
      <c r="N86" s="9">
        <v>4.9444999999999997</v>
      </c>
      <c r="O86" s="9">
        <v>0.37459999999999999</v>
      </c>
      <c r="P86" s="9">
        <v>1.2192000000000001</v>
      </c>
      <c r="Q86" s="9">
        <v>33.011299999999999</v>
      </c>
      <c r="R86" s="9"/>
      <c r="S86" s="11"/>
    </row>
    <row r="87" spans="1:19" ht="15.75">
      <c r="A87" s="13">
        <v>44501</v>
      </c>
      <c r="B87" s="8">
        <f>4.4527 * CHOOSE(CONTROL!$C$12, $D$11, 100%, $F$11)</f>
        <v>4.4527000000000001</v>
      </c>
      <c r="C87" s="8">
        <f>4.4632 * CHOOSE(CONTROL!$C$12, $D$11, 100%, $F$11)</f>
        <v>4.4631999999999996</v>
      </c>
      <c r="D87" s="8">
        <f>4.4456 * CHOOSE( CONTROL!$C$12, $D$11, 100%, $F$11)</f>
        <v>4.4455999999999998</v>
      </c>
      <c r="E87" s="12">
        <f>4.4509 * CHOOSE( CONTROL!$C$12, $D$11, 100%, $F$11)</f>
        <v>4.4508999999999999</v>
      </c>
      <c r="F87" s="4">
        <f>5.4469 * CHOOSE(CONTROL!$C$12, $D$11, 100%, $F$11)</f>
        <v>5.4469000000000003</v>
      </c>
      <c r="G87" s="8">
        <f>4.3492 * CHOOSE( CONTROL!$C$12, $D$11, 100%, $F$11)</f>
        <v>4.3491999999999997</v>
      </c>
      <c r="H87" s="4">
        <f>5.2333 * CHOOSE(CONTROL!$C$12, $D$11, 100%, $F$11)</f>
        <v>5.2332999999999998</v>
      </c>
      <c r="I87" s="8">
        <f>4.358 * CHOOSE(CONTROL!$C$12, $D$11, 100%, $F$11)</f>
        <v>4.3579999999999997</v>
      </c>
      <c r="J87" s="4">
        <f>4.2618 * CHOOSE(CONTROL!$C$12, $D$11, 100%, $F$11)</f>
        <v>4.2618</v>
      </c>
      <c r="K87" s="4"/>
      <c r="L87" s="9">
        <v>28.000499999999999</v>
      </c>
      <c r="M87" s="9">
        <v>11.6745</v>
      </c>
      <c r="N87" s="9">
        <v>4.7850000000000001</v>
      </c>
      <c r="O87" s="9">
        <v>0.36249999999999999</v>
      </c>
      <c r="P87" s="9">
        <v>1.2522</v>
      </c>
      <c r="Q87" s="9">
        <v>31.946400000000001</v>
      </c>
      <c r="R87" s="9"/>
      <c r="S87" s="11"/>
    </row>
    <row r="88" spans="1:19" ht="15.75">
      <c r="A88" s="13">
        <v>44531</v>
      </c>
      <c r="B88" s="8">
        <f>4.4446 * CHOOSE(CONTROL!$C$12, $D$11, 100%, $F$11)</f>
        <v>4.4446000000000003</v>
      </c>
      <c r="C88" s="8">
        <f>4.4551 * CHOOSE(CONTROL!$C$12, $D$11, 100%, $F$11)</f>
        <v>4.4550999999999998</v>
      </c>
      <c r="D88" s="8">
        <f>4.4395 * CHOOSE( CONTROL!$C$12, $D$11, 100%, $F$11)</f>
        <v>4.4394999999999998</v>
      </c>
      <c r="E88" s="12">
        <f>4.4441 * CHOOSE( CONTROL!$C$12, $D$11, 100%, $F$11)</f>
        <v>4.4440999999999997</v>
      </c>
      <c r="F88" s="4">
        <f>5.4388 * CHOOSE(CONTROL!$C$12, $D$11, 100%, $F$11)</f>
        <v>5.4387999999999996</v>
      </c>
      <c r="G88" s="8">
        <f>4.3428 * CHOOSE( CONTROL!$C$12, $D$11, 100%, $F$11)</f>
        <v>4.3428000000000004</v>
      </c>
      <c r="H88" s="4">
        <f>5.2254 * CHOOSE(CONTROL!$C$12, $D$11, 100%, $F$11)</f>
        <v>5.2253999999999996</v>
      </c>
      <c r="I88" s="8">
        <f>4.3574 * CHOOSE(CONTROL!$C$12, $D$11, 100%, $F$11)</f>
        <v>4.3574000000000002</v>
      </c>
      <c r="J88" s="4">
        <f>4.2541 * CHOOSE(CONTROL!$C$12, $D$11, 100%, $F$11)</f>
        <v>4.2541000000000002</v>
      </c>
      <c r="K88" s="4"/>
      <c r="L88" s="9">
        <v>28.933900000000001</v>
      </c>
      <c r="M88" s="9">
        <v>12.063700000000001</v>
      </c>
      <c r="N88" s="9">
        <v>4.9444999999999997</v>
      </c>
      <c r="O88" s="9">
        <v>0.37459999999999999</v>
      </c>
      <c r="P88" s="9">
        <v>1.2939000000000001</v>
      </c>
      <c r="Q88" s="9">
        <v>33.011299999999999</v>
      </c>
      <c r="R88" s="9"/>
      <c r="S88" s="11"/>
    </row>
    <row r="89" spans="1:19" ht="15.75">
      <c r="A89" s="13">
        <v>44562</v>
      </c>
      <c r="B89" s="8">
        <f>4.4311 * CHOOSE(CONTROL!$C$12, $D$11, 100%, $F$11)</f>
        <v>4.4310999999999998</v>
      </c>
      <c r="C89" s="8">
        <f>4.4416 * CHOOSE(CONTROL!$C$12, $D$11, 100%, $F$11)</f>
        <v>4.4416000000000002</v>
      </c>
      <c r="D89" s="8">
        <f>4.4392 * CHOOSE( CONTROL!$C$12, $D$11, 100%, $F$11)</f>
        <v>4.4391999999999996</v>
      </c>
      <c r="E89" s="12">
        <f>4.439 * CHOOSE( CONTROL!$C$12, $D$11, 100%, $F$11)</f>
        <v>4.4390000000000001</v>
      </c>
      <c r="F89" s="4">
        <f>5.4541 * CHOOSE(CONTROL!$C$12, $D$11, 100%, $F$11)</f>
        <v>5.4541000000000004</v>
      </c>
      <c r="G89" s="8">
        <f>4.3468 * CHOOSE( CONTROL!$C$12, $D$11, 100%, $F$11)</f>
        <v>4.3468</v>
      </c>
      <c r="H89" s="4">
        <f>5.2402 * CHOOSE(CONTROL!$C$12, $D$11, 100%, $F$11)</f>
        <v>5.2401999999999997</v>
      </c>
      <c r="I89" s="8">
        <f>4.3519 * CHOOSE(CONTROL!$C$12, $D$11, 100%, $F$11)</f>
        <v>4.3518999999999997</v>
      </c>
      <c r="J89" s="4">
        <f>4.2412 * CHOOSE(CONTROL!$C$12, $D$11, 100%, $F$11)</f>
        <v>4.2412000000000001</v>
      </c>
      <c r="K89" s="4"/>
      <c r="L89" s="9">
        <v>28.933900000000001</v>
      </c>
      <c r="M89" s="9">
        <v>12.063700000000001</v>
      </c>
      <c r="N89" s="9">
        <v>4.9444999999999997</v>
      </c>
      <c r="O89" s="9">
        <v>0.37459999999999999</v>
      </c>
      <c r="P89" s="9">
        <v>1.2939000000000001</v>
      </c>
      <c r="Q89" s="9">
        <v>32.8123</v>
      </c>
      <c r="R89" s="9"/>
      <c r="S89" s="11"/>
    </row>
    <row r="90" spans="1:19" ht="15.75">
      <c r="A90" s="13">
        <v>44593</v>
      </c>
      <c r="B90" s="8">
        <f>4.145 * CHOOSE(CONTROL!$C$12, $D$11, 100%, $F$11)</f>
        <v>4.1449999999999996</v>
      </c>
      <c r="C90" s="8">
        <f>4.1554 * CHOOSE(CONTROL!$C$12, $D$11, 100%, $F$11)</f>
        <v>4.1554000000000002</v>
      </c>
      <c r="D90" s="8">
        <f>4.1554 * CHOOSE( CONTROL!$C$12, $D$11, 100%, $F$11)</f>
        <v>4.1554000000000002</v>
      </c>
      <c r="E90" s="12">
        <f>4.1543 * CHOOSE( CONTROL!$C$12, $D$11, 100%, $F$11)</f>
        <v>4.1543000000000001</v>
      </c>
      <c r="F90" s="4">
        <f>5.1601 * CHOOSE(CONTROL!$C$12, $D$11, 100%, $F$11)</f>
        <v>5.1600999999999999</v>
      </c>
      <c r="G90" s="8">
        <f>4.0678 * CHOOSE( CONTROL!$C$12, $D$11, 100%, $F$11)</f>
        <v>4.0678000000000001</v>
      </c>
      <c r="H90" s="4">
        <f>4.9537 * CHOOSE(CONTROL!$C$12, $D$11, 100%, $F$11)</f>
        <v>4.9537000000000004</v>
      </c>
      <c r="I90" s="8">
        <f>4.0666 * CHOOSE(CONTROL!$C$12, $D$11, 100%, $F$11)</f>
        <v>4.0666000000000002</v>
      </c>
      <c r="J90" s="4">
        <f>3.967 * CHOOSE(CONTROL!$C$12, $D$11, 100%, $F$11)</f>
        <v>3.9670000000000001</v>
      </c>
      <c r="K90" s="4"/>
      <c r="L90" s="9">
        <v>26.133800000000001</v>
      </c>
      <c r="M90" s="9">
        <v>10.8962</v>
      </c>
      <c r="N90" s="9">
        <v>4.4660000000000002</v>
      </c>
      <c r="O90" s="9">
        <v>0.33829999999999999</v>
      </c>
      <c r="P90" s="9">
        <v>1.1687000000000001</v>
      </c>
      <c r="Q90" s="9">
        <v>29.636900000000001</v>
      </c>
      <c r="R90" s="9"/>
      <c r="S90" s="11"/>
    </row>
    <row r="91" spans="1:19" ht="15.75">
      <c r="A91" s="13">
        <v>44621</v>
      </c>
      <c r="B91" s="8">
        <f>4.0569 * CHOOSE(CONTROL!$C$12, $D$11, 100%, $F$11)</f>
        <v>4.0568999999999997</v>
      </c>
      <c r="C91" s="8">
        <f>4.0673 * CHOOSE(CONTROL!$C$12, $D$11, 100%, $F$11)</f>
        <v>4.0673000000000004</v>
      </c>
      <c r="D91" s="8">
        <f>4.0471 * CHOOSE( CONTROL!$C$12, $D$11, 100%, $F$11)</f>
        <v>4.0471000000000004</v>
      </c>
      <c r="E91" s="12">
        <f>4.0534 * CHOOSE( CONTROL!$C$12, $D$11, 100%, $F$11)</f>
        <v>4.0533999999999999</v>
      </c>
      <c r="F91" s="4">
        <f>5.0558 * CHOOSE(CONTROL!$C$12, $D$11, 100%, $F$11)</f>
        <v>5.0557999999999996</v>
      </c>
      <c r="G91" s="8">
        <f>3.9614 * CHOOSE( CONTROL!$C$12, $D$11, 100%, $F$11)</f>
        <v>3.9613999999999998</v>
      </c>
      <c r="H91" s="4">
        <f>4.852 * CHOOSE(CONTROL!$C$12, $D$11, 100%, $F$11)</f>
        <v>4.8520000000000003</v>
      </c>
      <c r="I91" s="8">
        <f>3.9426 * CHOOSE(CONTROL!$C$12, $D$11, 100%, $F$11)</f>
        <v>3.9426000000000001</v>
      </c>
      <c r="J91" s="4">
        <f>3.8825 * CHOOSE(CONTROL!$C$12, $D$11, 100%, $F$11)</f>
        <v>3.8824999999999998</v>
      </c>
      <c r="K91" s="4"/>
      <c r="L91" s="9">
        <v>28.933900000000001</v>
      </c>
      <c r="M91" s="9">
        <v>12.063700000000001</v>
      </c>
      <c r="N91" s="9">
        <v>4.9444999999999997</v>
      </c>
      <c r="O91" s="9">
        <v>0.37459999999999999</v>
      </c>
      <c r="P91" s="9">
        <v>1.2939000000000001</v>
      </c>
      <c r="Q91" s="9">
        <v>32.8123</v>
      </c>
      <c r="R91" s="9"/>
      <c r="S91" s="11"/>
    </row>
    <row r="92" spans="1:19" ht="15.75">
      <c r="A92" s="13">
        <v>44652</v>
      </c>
      <c r="B92" s="8">
        <f>4.1185 * CHOOSE(CONTROL!$C$12, $D$11, 100%, $F$11)</f>
        <v>4.1185</v>
      </c>
      <c r="C92" s="8">
        <f>4.1289 * CHOOSE(CONTROL!$C$12, $D$11, 100%, $F$11)</f>
        <v>4.1288999999999998</v>
      </c>
      <c r="D92" s="8">
        <f>4.1321 * CHOOSE( CONTROL!$C$12, $D$11, 100%, $F$11)</f>
        <v>4.1321000000000003</v>
      </c>
      <c r="E92" s="12">
        <f>4.1299 * CHOOSE( CONTROL!$C$12, $D$11, 100%, $F$11)</f>
        <v>4.1299000000000001</v>
      </c>
      <c r="F92" s="4">
        <f>5.1257 * CHOOSE(CONTROL!$C$12, $D$11, 100%, $F$11)</f>
        <v>5.1257000000000001</v>
      </c>
      <c r="G92" s="8">
        <f>4.0093 * CHOOSE( CONTROL!$C$12, $D$11, 100%, $F$11)</f>
        <v>4.0092999999999996</v>
      </c>
      <c r="H92" s="4">
        <f>4.9202 * CHOOSE(CONTROL!$C$12, $D$11, 100%, $F$11)</f>
        <v>4.9202000000000004</v>
      </c>
      <c r="I92" s="8">
        <f>3.9918 * CHOOSE(CONTROL!$C$12, $D$11, 100%, $F$11)</f>
        <v>3.9918</v>
      </c>
      <c r="J92" s="4">
        <f>3.9415 * CHOOSE(CONTROL!$C$12, $D$11, 100%, $F$11)</f>
        <v>3.9415</v>
      </c>
      <c r="K92" s="4"/>
      <c r="L92" s="9">
        <v>29.665800000000001</v>
      </c>
      <c r="M92" s="9">
        <v>11.6745</v>
      </c>
      <c r="N92" s="9">
        <v>4.7850000000000001</v>
      </c>
      <c r="O92" s="9">
        <v>0.36249999999999999</v>
      </c>
      <c r="P92" s="9">
        <v>1.1798</v>
      </c>
      <c r="Q92" s="9">
        <v>31.753799999999998</v>
      </c>
      <c r="R92" s="9"/>
      <c r="S92" s="11"/>
    </row>
    <row r="93" spans="1:19" ht="15.75">
      <c r="A93" s="13">
        <v>44682</v>
      </c>
      <c r="B93" s="8">
        <f>CHOOSE( CONTROL!$C$29, 4.2323, 4.2281) * CHOOSE(CONTROL!$C$12, $D$11, 100%, $F$11)</f>
        <v>4.2323000000000004</v>
      </c>
      <c r="C93" s="8">
        <f>CHOOSE( CONTROL!$C$29, 4.2427, 4.2385) * CHOOSE(CONTROL!$C$12, $D$11, 100%, $F$11)</f>
        <v>4.2427000000000001</v>
      </c>
      <c r="D93" s="8">
        <f>CHOOSE( CONTROL!$C$29, 4.2207, 4.2164) * CHOOSE( CONTROL!$C$12, $D$11, 100%, $F$11)</f>
        <v>4.2206999999999999</v>
      </c>
      <c r="E93" s="12">
        <f>CHOOSE( CONTROL!$C$29, 4.2271, 4.2228) * CHOOSE( CONTROL!$C$12, $D$11, 100%, $F$11)</f>
        <v>4.2271000000000001</v>
      </c>
      <c r="F93" s="4">
        <f>CHOOSE( CONTROL!$C$29, 5.2072, 5.203) * CHOOSE(CONTROL!$C$12, $D$11, 100%, $F$11)</f>
        <v>5.2072000000000003</v>
      </c>
      <c r="G93" s="8">
        <f>CHOOSE( CONTROL!$C$29, 4.1015, 4.0974) * CHOOSE( CONTROL!$C$12, $D$11, 100%, $F$11)</f>
        <v>4.1014999999999997</v>
      </c>
      <c r="H93" s="4">
        <f>CHOOSE( CONTROL!$C$29, 4.9996, 4.9955) * CHOOSE(CONTROL!$C$12, $D$11, 100%, $F$11)</f>
        <v>4.9996</v>
      </c>
      <c r="I93" s="8">
        <f>CHOOSE( CONTROL!$C$29, 4.0794, 4.0753) * CHOOSE(CONTROL!$C$12, $D$11, 100%, $F$11)</f>
        <v>4.0793999999999997</v>
      </c>
      <c r="J93" s="4">
        <f>CHOOSE( CONTROL!$C$29, 4.0506, 4.0466) * CHOOSE(CONTROL!$C$12, $D$11, 100%, $F$11)</f>
        <v>4.0506000000000002</v>
      </c>
      <c r="K93" s="4"/>
      <c r="L93" s="9">
        <v>30.896899999999999</v>
      </c>
      <c r="M93" s="9">
        <v>12.063700000000001</v>
      </c>
      <c r="N93" s="9">
        <v>4.9444999999999997</v>
      </c>
      <c r="O93" s="9">
        <v>0.37459999999999999</v>
      </c>
      <c r="P93" s="9">
        <v>1.2192000000000001</v>
      </c>
      <c r="Q93" s="9">
        <v>32.8123</v>
      </c>
      <c r="R93" s="9"/>
      <c r="S93" s="11"/>
    </row>
    <row r="94" spans="1:19" ht="15.75">
      <c r="A94" s="13">
        <v>44713</v>
      </c>
      <c r="B94" s="8">
        <f>CHOOSE( CONTROL!$C$29, 4.1644, 4.1602) * CHOOSE(CONTROL!$C$12, $D$11, 100%, $F$11)</f>
        <v>4.1643999999999997</v>
      </c>
      <c r="C94" s="8">
        <f>CHOOSE( CONTROL!$C$29, 4.1748, 4.1706) * CHOOSE(CONTROL!$C$12, $D$11, 100%, $F$11)</f>
        <v>4.1748000000000003</v>
      </c>
      <c r="D94" s="8">
        <f>CHOOSE( CONTROL!$C$29, 4.1472, 4.1429) * CHOOSE( CONTROL!$C$12, $D$11, 100%, $F$11)</f>
        <v>4.1471999999999998</v>
      </c>
      <c r="E94" s="12">
        <f>CHOOSE( CONTROL!$C$29, 4.1556, 4.1514) * CHOOSE( CONTROL!$C$12, $D$11, 100%, $F$11)</f>
        <v>4.1555999999999997</v>
      </c>
      <c r="F94" s="4">
        <f>CHOOSE( CONTROL!$C$29, 5.1289, 5.1246) * CHOOSE(CONTROL!$C$12, $D$11, 100%, $F$11)</f>
        <v>5.1288999999999998</v>
      </c>
      <c r="G94" s="8">
        <f>CHOOSE( CONTROL!$C$29, 4.034, 4.0299) * CHOOSE( CONTROL!$C$12, $D$11, 100%, $F$11)</f>
        <v>4.0339999999999998</v>
      </c>
      <c r="H94" s="4">
        <f>CHOOSE( CONTROL!$C$29, 4.9232, 4.9191) * CHOOSE(CONTROL!$C$12, $D$11, 100%, $F$11)</f>
        <v>4.9231999999999996</v>
      </c>
      <c r="I94" s="8">
        <f>CHOOSE( CONTROL!$C$29, 4.0164, 4.0124) * CHOOSE(CONTROL!$C$12, $D$11, 100%, $F$11)</f>
        <v>4.0164</v>
      </c>
      <c r="J94" s="4">
        <f>CHOOSE( CONTROL!$C$29, 3.9856, 3.9815) * CHOOSE(CONTROL!$C$12, $D$11, 100%, $F$11)</f>
        <v>3.9855999999999998</v>
      </c>
      <c r="K94" s="4"/>
      <c r="L94" s="9">
        <v>29.900200000000002</v>
      </c>
      <c r="M94" s="9">
        <v>11.6745</v>
      </c>
      <c r="N94" s="9">
        <v>4.7850000000000001</v>
      </c>
      <c r="O94" s="9">
        <v>0.36249999999999999</v>
      </c>
      <c r="P94" s="9">
        <v>1.1798</v>
      </c>
      <c r="Q94" s="9">
        <v>31.753799999999998</v>
      </c>
      <c r="R94" s="9"/>
      <c r="S94" s="11"/>
    </row>
    <row r="95" spans="1:19" ht="15.75">
      <c r="A95" s="13">
        <v>44743</v>
      </c>
      <c r="B95" s="8">
        <f>CHOOSE( CONTROL!$C$29, 4.3432, 4.339) * CHOOSE(CONTROL!$C$12, $D$11, 100%, $F$11)</f>
        <v>4.3432000000000004</v>
      </c>
      <c r="C95" s="8">
        <f>CHOOSE( CONTROL!$C$29, 4.3536, 4.3494) * CHOOSE(CONTROL!$C$12, $D$11, 100%, $F$11)</f>
        <v>4.3536000000000001</v>
      </c>
      <c r="D95" s="8">
        <f>CHOOSE( CONTROL!$C$29, 4.3598, 4.3555) * CHOOSE( CONTROL!$C$12, $D$11, 100%, $F$11)</f>
        <v>4.3597999999999999</v>
      </c>
      <c r="E95" s="12">
        <f>CHOOSE( CONTROL!$C$29, 4.356, 4.3517) * CHOOSE( CONTROL!$C$12, $D$11, 100%, $F$11)</f>
        <v>4.3559999999999999</v>
      </c>
      <c r="F95" s="4">
        <f>CHOOSE( CONTROL!$C$29, 5.3531, 5.3488) * CHOOSE(CONTROL!$C$12, $D$11, 100%, $F$11)</f>
        <v>5.3531000000000004</v>
      </c>
      <c r="G95" s="8">
        <f>CHOOSE( CONTROL!$C$29, 4.2344, 4.2302) * CHOOSE( CONTROL!$C$12, $D$11, 100%, $F$11)</f>
        <v>4.2343999999999999</v>
      </c>
      <c r="H95" s="4">
        <f>CHOOSE( CONTROL!$C$29, 5.1418, 5.1376) * CHOOSE(CONTROL!$C$12, $D$11, 100%, $F$11)</f>
        <v>5.1417999999999999</v>
      </c>
      <c r="I95" s="8">
        <f>CHOOSE( CONTROL!$C$29, 4.2431, 4.2391) * CHOOSE(CONTROL!$C$12, $D$11, 100%, $F$11)</f>
        <v>4.2431000000000001</v>
      </c>
      <c r="J95" s="4">
        <f>CHOOSE( CONTROL!$C$29, 4.1569, 4.1528) * CHOOSE(CONTROL!$C$12, $D$11, 100%, $F$11)</f>
        <v>4.1569000000000003</v>
      </c>
      <c r="K95" s="4"/>
      <c r="L95" s="9">
        <v>30.896899999999999</v>
      </c>
      <c r="M95" s="9">
        <v>12.063700000000001</v>
      </c>
      <c r="N95" s="9">
        <v>4.9444999999999997</v>
      </c>
      <c r="O95" s="9">
        <v>0.37459999999999999</v>
      </c>
      <c r="P95" s="9">
        <v>1.2192000000000001</v>
      </c>
      <c r="Q95" s="9">
        <v>32.8123</v>
      </c>
      <c r="R95" s="9"/>
      <c r="S95" s="11"/>
    </row>
    <row r="96" spans="1:19" ht="15.75">
      <c r="A96" s="13">
        <v>44774</v>
      </c>
      <c r="B96" s="8">
        <f>CHOOSE( CONTROL!$C$29, 4.0087, 4.0044) * CHOOSE(CONTROL!$C$12, $D$11, 100%, $F$11)</f>
        <v>4.0087000000000002</v>
      </c>
      <c r="C96" s="8">
        <f>CHOOSE( CONTROL!$C$29, 4.0191, 4.0148) * CHOOSE(CONTROL!$C$12, $D$11, 100%, $F$11)</f>
        <v>4.0190999999999999</v>
      </c>
      <c r="D96" s="8">
        <f>CHOOSE( CONTROL!$C$29, 4.0417, 4.0374) * CHOOSE( CONTROL!$C$12, $D$11, 100%, $F$11)</f>
        <v>4.0416999999999996</v>
      </c>
      <c r="E96" s="12">
        <f>CHOOSE( CONTROL!$C$29, 4.0319, 4.0276) * CHOOSE( CONTROL!$C$12, $D$11, 100%, $F$11)</f>
        <v>4.0319000000000003</v>
      </c>
      <c r="F96" s="4">
        <f>CHOOSE( CONTROL!$C$29, 5.0472, 5.043) * CHOOSE(CONTROL!$C$12, $D$11, 100%, $F$11)</f>
        <v>5.0472000000000001</v>
      </c>
      <c r="G96" s="8">
        <f>CHOOSE( CONTROL!$C$29, 3.9139, 3.9097) * CHOOSE( CONTROL!$C$12, $D$11, 100%, $F$11)</f>
        <v>3.9138999999999999</v>
      </c>
      <c r="H96" s="4">
        <f>CHOOSE( CONTROL!$C$29, 4.8436, 4.8395) * CHOOSE(CONTROL!$C$12, $D$11, 100%, $F$11)</f>
        <v>4.8436000000000003</v>
      </c>
      <c r="I96" s="8">
        <f>CHOOSE( CONTROL!$C$29, 3.9139, 3.9098) * CHOOSE(CONTROL!$C$12, $D$11, 100%, $F$11)</f>
        <v>3.9138999999999999</v>
      </c>
      <c r="J96" s="4">
        <f>CHOOSE( CONTROL!$C$29, 3.8363, 3.8323) * CHOOSE(CONTROL!$C$12, $D$11, 100%, $F$11)</f>
        <v>3.8363</v>
      </c>
      <c r="K96" s="4"/>
      <c r="L96" s="9">
        <v>29.520499999999998</v>
      </c>
      <c r="M96" s="9">
        <v>12.063700000000001</v>
      </c>
      <c r="N96" s="9">
        <v>4.9444999999999997</v>
      </c>
      <c r="O96" s="9">
        <v>0.37459999999999999</v>
      </c>
      <c r="P96" s="9">
        <v>1.2192000000000001</v>
      </c>
      <c r="Q96" s="9">
        <v>32.8123</v>
      </c>
      <c r="R96" s="9"/>
      <c r="S96" s="11"/>
    </row>
    <row r="97" spans="1:19" ht="15.75">
      <c r="A97" s="13">
        <v>44805</v>
      </c>
      <c r="B97" s="8">
        <f>CHOOSE( CONTROL!$C$29, 3.9249, 3.9206) * CHOOSE(CONTROL!$C$12, $D$11, 100%, $F$11)</f>
        <v>3.9249000000000001</v>
      </c>
      <c r="C97" s="8">
        <f>CHOOSE( CONTROL!$C$29, 3.9353, 3.9311) * CHOOSE(CONTROL!$C$12, $D$11, 100%, $F$11)</f>
        <v>3.9352999999999998</v>
      </c>
      <c r="D97" s="8">
        <f>CHOOSE( CONTROL!$C$29, 3.9579, 3.9536) * CHOOSE( CONTROL!$C$12, $D$11, 100%, $F$11)</f>
        <v>3.9579</v>
      </c>
      <c r="E97" s="12">
        <f>CHOOSE( CONTROL!$C$29, 3.9481, 3.9438) * CHOOSE( CONTROL!$C$12, $D$11, 100%, $F$11)</f>
        <v>3.9481000000000002</v>
      </c>
      <c r="F97" s="4">
        <f>CHOOSE( CONTROL!$C$29, 4.9634, 4.9592) * CHOOSE(CONTROL!$C$12, $D$11, 100%, $F$11)</f>
        <v>4.9634</v>
      </c>
      <c r="G97" s="8">
        <f>CHOOSE( CONTROL!$C$29, 3.8319, 3.8278) * CHOOSE( CONTROL!$C$12, $D$11, 100%, $F$11)</f>
        <v>3.8319000000000001</v>
      </c>
      <c r="H97" s="4">
        <f>CHOOSE( CONTROL!$C$29, 4.762, 4.7578) * CHOOSE(CONTROL!$C$12, $D$11, 100%, $F$11)</f>
        <v>4.7619999999999996</v>
      </c>
      <c r="I97" s="8">
        <f>CHOOSE( CONTROL!$C$29, 3.8318, 3.8278) * CHOOSE(CONTROL!$C$12, $D$11, 100%, $F$11)</f>
        <v>3.8317999999999999</v>
      </c>
      <c r="J97" s="4">
        <f>CHOOSE( CONTROL!$C$29, 3.7561, 3.752) * CHOOSE(CONTROL!$C$12, $D$11, 100%, $F$11)</f>
        <v>3.7561</v>
      </c>
      <c r="K97" s="4"/>
      <c r="L97" s="9">
        <v>28.568200000000001</v>
      </c>
      <c r="M97" s="9">
        <v>11.6745</v>
      </c>
      <c r="N97" s="9">
        <v>4.7850000000000001</v>
      </c>
      <c r="O97" s="9">
        <v>0.36249999999999999</v>
      </c>
      <c r="P97" s="9">
        <v>1.1798</v>
      </c>
      <c r="Q97" s="9">
        <v>31.753799999999998</v>
      </c>
      <c r="R97" s="9"/>
      <c r="S97" s="11"/>
    </row>
    <row r="98" spans="1:19" ht="15.75">
      <c r="A98" s="13">
        <v>44835</v>
      </c>
      <c r="B98" s="8">
        <f>4.0946 * CHOOSE(CONTROL!$C$12, $D$11, 100%, $F$11)</f>
        <v>4.0945999999999998</v>
      </c>
      <c r="C98" s="8">
        <f>4.105 * CHOOSE(CONTROL!$C$12, $D$11, 100%, $F$11)</f>
        <v>4.1050000000000004</v>
      </c>
      <c r="D98" s="8">
        <f>4.1094 * CHOOSE( CONTROL!$C$12, $D$11, 100%, $F$11)</f>
        <v>4.1093999999999999</v>
      </c>
      <c r="E98" s="12">
        <f>4.1068 * CHOOSE( CONTROL!$C$12, $D$11, 100%, $F$11)</f>
        <v>4.1067999999999998</v>
      </c>
      <c r="F98" s="4">
        <f>5.1018 * CHOOSE(CONTROL!$C$12, $D$11, 100%, $F$11)</f>
        <v>5.1017999999999999</v>
      </c>
      <c r="G98" s="8">
        <f>3.9876 * CHOOSE( CONTROL!$C$12, $D$11, 100%, $F$11)</f>
        <v>3.9876</v>
      </c>
      <c r="H98" s="4">
        <f>4.8969 * CHOOSE(CONTROL!$C$12, $D$11, 100%, $F$11)</f>
        <v>4.8968999999999996</v>
      </c>
      <c r="I98" s="8">
        <f>3.9912 * CHOOSE(CONTROL!$C$12, $D$11, 100%, $F$11)</f>
        <v>3.9912000000000001</v>
      </c>
      <c r="J98" s="4">
        <f>3.9187 * CHOOSE(CONTROL!$C$12, $D$11, 100%, $F$11)</f>
        <v>3.9186999999999999</v>
      </c>
      <c r="K98" s="4"/>
      <c r="L98" s="9">
        <v>28.921800000000001</v>
      </c>
      <c r="M98" s="9">
        <v>12.063700000000001</v>
      </c>
      <c r="N98" s="9">
        <v>4.9444999999999997</v>
      </c>
      <c r="O98" s="9">
        <v>0.37459999999999999</v>
      </c>
      <c r="P98" s="9">
        <v>1.2192000000000001</v>
      </c>
      <c r="Q98" s="9">
        <v>32.8123</v>
      </c>
      <c r="R98" s="9"/>
      <c r="S98" s="11"/>
    </row>
    <row r="99" spans="1:19" ht="15.75">
      <c r="A99" s="13">
        <v>44866</v>
      </c>
      <c r="B99" s="8">
        <f>4.4157 * CHOOSE(CONTROL!$C$12, $D$11, 100%, $F$11)</f>
        <v>4.4157000000000002</v>
      </c>
      <c r="C99" s="8">
        <f>4.4261 * CHOOSE(CONTROL!$C$12, $D$11, 100%, $F$11)</f>
        <v>4.4260999999999999</v>
      </c>
      <c r="D99" s="8">
        <f>4.4085 * CHOOSE( CONTROL!$C$12, $D$11, 100%, $F$11)</f>
        <v>4.4085000000000001</v>
      </c>
      <c r="E99" s="12">
        <f>4.4138 * CHOOSE( CONTROL!$C$12, $D$11, 100%, $F$11)</f>
        <v>4.4138000000000002</v>
      </c>
      <c r="F99" s="4">
        <f>5.4099 * CHOOSE(CONTROL!$C$12, $D$11, 100%, $F$11)</f>
        <v>5.4099000000000004</v>
      </c>
      <c r="G99" s="8">
        <f>4.313 * CHOOSE( CONTROL!$C$12, $D$11, 100%, $F$11)</f>
        <v>4.3129999999999997</v>
      </c>
      <c r="H99" s="4">
        <f>5.1971 * CHOOSE(CONTROL!$C$12, $D$11, 100%, $F$11)</f>
        <v>5.1970999999999998</v>
      </c>
      <c r="I99" s="8">
        <f>4.3224 * CHOOSE(CONTROL!$C$12, $D$11, 100%, $F$11)</f>
        <v>4.3224</v>
      </c>
      <c r="J99" s="4">
        <f>4.2263 * CHOOSE(CONTROL!$C$12, $D$11, 100%, $F$11)</f>
        <v>4.2263000000000002</v>
      </c>
      <c r="K99" s="4"/>
      <c r="L99" s="9">
        <v>26.515499999999999</v>
      </c>
      <c r="M99" s="9">
        <v>11.6745</v>
      </c>
      <c r="N99" s="9">
        <v>4.7850000000000001</v>
      </c>
      <c r="O99" s="9">
        <v>0.36249999999999999</v>
      </c>
      <c r="P99" s="9">
        <v>1.2522</v>
      </c>
      <c r="Q99" s="9">
        <v>31.753799999999998</v>
      </c>
      <c r="R99" s="9"/>
      <c r="S99" s="11"/>
    </row>
    <row r="100" spans="1:19" ht="15.75">
      <c r="A100" s="13">
        <v>44896</v>
      </c>
      <c r="B100" s="8">
        <f>4.4076 * CHOOSE(CONTROL!$C$12, $D$11, 100%, $F$11)</f>
        <v>4.4076000000000004</v>
      </c>
      <c r="C100" s="8">
        <f>4.4181 * CHOOSE(CONTROL!$C$12, $D$11, 100%, $F$11)</f>
        <v>4.4180999999999999</v>
      </c>
      <c r="D100" s="8">
        <f>4.4025 * CHOOSE( CONTROL!$C$12, $D$11, 100%, $F$11)</f>
        <v>4.4024999999999999</v>
      </c>
      <c r="E100" s="12">
        <f>4.4071 * CHOOSE( CONTROL!$C$12, $D$11, 100%, $F$11)</f>
        <v>4.4070999999999998</v>
      </c>
      <c r="F100" s="4">
        <f>5.4018 * CHOOSE(CONTROL!$C$12, $D$11, 100%, $F$11)</f>
        <v>5.4017999999999997</v>
      </c>
      <c r="G100" s="8">
        <f>4.3068 * CHOOSE( CONTROL!$C$12, $D$11, 100%, $F$11)</f>
        <v>4.3068</v>
      </c>
      <c r="H100" s="4">
        <f>5.1893 * CHOOSE(CONTROL!$C$12, $D$11, 100%, $F$11)</f>
        <v>5.1893000000000002</v>
      </c>
      <c r="I100" s="8">
        <f>4.322 * CHOOSE(CONTROL!$C$12, $D$11, 100%, $F$11)</f>
        <v>4.3220000000000001</v>
      </c>
      <c r="J100" s="4">
        <f>4.2186 * CHOOSE(CONTROL!$C$12, $D$11, 100%, $F$11)</f>
        <v>4.2186000000000003</v>
      </c>
      <c r="K100" s="4"/>
      <c r="L100" s="9">
        <v>27.3993</v>
      </c>
      <c r="M100" s="9">
        <v>12.063700000000001</v>
      </c>
      <c r="N100" s="9">
        <v>4.9444999999999997</v>
      </c>
      <c r="O100" s="9">
        <v>0.37459999999999999</v>
      </c>
      <c r="P100" s="9">
        <v>1.2939000000000001</v>
      </c>
      <c r="Q100" s="9">
        <v>32.8123</v>
      </c>
      <c r="R100" s="9"/>
      <c r="S100" s="11"/>
    </row>
    <row r="101" spans="1:19" ht="15.75">
      <c r="A101" s="13">
        <v>44927</v>
      </c>
      <c r="B101" s="8">
        <f>4.3907 * CHOOSE(CONTROL!$C$12, $D$11, 100%, $F$11)</f>
        <v>4.3906999999999998</v>
      </c>
      <c r="C101" s="8">
        <f>4.4011 * CHOOSE(CONTROL!$C$12, $D$11, 100%, $F$11)</f>
        <v>4.4010999999999996</v>
      </c>
      <c r="D101" s="8">
        <f>4.3988 * CHOOSE( CONTROL!$C$12, $D$11, 100%, $F$11)</f>
        <v>4.3987999999999996</v>
      </c>
      <c r="E101" s="12">
        <f>4.3985 * CHOOSE( CONTROL!$C$12, $D$11, 100%, $F$11)</f>
        <v>4.3985000000000003</v>
      </c>
      <c r="F101" s="4">
        <f>5.4136 * CHOOSE(CONTROL!$C$12, $D$11, 100%, $F$11)</f>
        <v>5.4135999999999997</v>
      </c>
      <c r="G101" s="8">
        <f>4.3074 * CHOOSE( CONTROL!$C$12, $D$11, 100%, $F$11)</f>
        <v>4.3074000000000003</v>
      </c>
      <c r="H101" s="4">
        <f>5.2008 * CHOOSE(CONTROL!$C$12, $D$11, 100%, $F$11)</f>
        <v>5.2008000000000001</v>
      </c>
      <c r="I101" s="8">
        <f>4.3131 * CHOOSE(CONTROL!$C$12, $D$11, 100%, $F$11)</f>
        <v>4.3131000000000004</v>
      </c>
      <c r="J101" s="4">
        <f>4.2024 * CHOOSE(CONTROL!$C$12, $D$11, 100%, $F$11)</f>
        <v>4.2023999999999999</v>
      </c>
      <c r="K101" s="4"/>
      <c r="L101" s="9">
        <v>27.3993</v>
      </c>
      <c r="M101" s="9">
        <v>12.063700000000001</v>
      </c>
      <c r="N101" s="9">
        <v>4.9444999999999997</v>
      </c>
      <c r="O101" s="9">
        <v>0.37459999999999999</v>
      </c>
      <c r="P101" s="9">
        <v>1.2939000000000001</v>
      </c>
      <c r="Q101" s="9">
        <v>32.624400000000001</v>
      </c>
      <c r="R101" s="9"/>
      <c r="S101" s="11"/>
    </row>
    <row r="102" spans="1:19" ht="15.75">
      <c r="A102" s="13">
        <v>44958</v>
      </c>
      <c r="B102" s="8">
        <f>4.1072 * CHOOSE(CONTROL!$C$12, $D$11, 100%, $F$11)</f>
        <v>4.1071999999999997</v>
      </c>
      <c r="C102" s="8">
        <f>4.1176 * CHOOSE(CONTROL!$C$12, $D$11, 100%, $F$11)</f>
        <v>4.1176000000000004</v>
      </c>
      <c r="D102" s="8">
        <f>4.1176 * CHOOSE( CONTROL!$C$12, $D$11, 100%, $F$11)</f>
        <v>4.1176000000000004</v>
      </c>
      <c r="E102" s="12">
        <f>4.1165 * CHOOSE( CONTROL!$C$12, $D$11, 100%, $F$11)</f>
        <v>4.1165000000000003</v>
      </c>
      <c r="F102" s="4">
        <f>5.1222 * CHOOSE(CONTROL!$C$12, $D$11, 100%, $F$11)</f>
        <v>5.1222000000000003</v>
      </c>
      <c r="G102" s="8">
        <f>4.0309 * CHOOSE( CONTROL!$C$12, $D$11, 100%, $F$11)</f>
        <v>4.0308999999999999</v>
      </c>
      <c r="H102" s="4">
        <f>4.9168 * CHOOSE(CONTROL!$C$12, $D$11, 100%, $F$11)</f>
        <v>4.9168000000000003</v>
      </c>
      <c r="I102" s="8">
        <f>4.0303 * CHOOSE(CONTROL!$C$12, $D$11, 100%, $F$11)</f>
        <v>4.0303000000000004</v>
      </c>
      <c r="J102" s="4">
        <f>3.9307 * CHOOSE(CONTROL!$C$12, $D$11, 100%, $F$11)</f>
        <v>3.9306999999999999</v>
      </c>
      <c r="K102" s="4"/>
      <c r="L102" s="9">
        <v>24.747800000000002</v>
      </c>
      <c r="M102" s="9">
        <v>10.8962</v>
      </c>
      <c r="N102" s="9">
        <v>4.4660000000000002</v>
      </c>
      <c r="O102" s="9">
        <v>0.33829999999999999</v>
      </c>
      <c r="P102" s="9">
        <v>1.1687000000000001</v>
      </c>
      <c r="Q102" s="9">
        <v>29.467199999999998</v>
      </c>
      <c r="R102" s="9"/>
      <c r="S102" s="11"/>
    </row>
    <row r="103" spans="1:19" ht="15.75">
      <c r="A103" s="13">
        <v>44986</v>
      </c>
      <c r="B103" s="8">
        <f>4.0198 * CHOOSE(CONTROL!$C$12, $D$11, 100%, $F$11)</f>
        <v>4.0198</v>
      </c>
      <c r="C103" s="8">
        <f>4.0303 * CHOOSE(CONTROL!$C$12, $D$11, 100%, $F$11)</f>
        <v>4.0303000000000004</v>
      </c>
      <c r="D103" s="8">
        <f>4.0101 * CHOOSE( CONTROL!$C$12, $D$11, 100%, $F$11)</f>
        <v>4.0101000000000004</v>
      </c>
      <c r="E103" s="12">
        <f>4.0164 * CHOOSE( CONTROL!$C$12, $D$11, 100%, $F$11)</f>
        <v>4.0164</v>
      </c>
      <c r="F103" s="4">
        <f>5.0187 * CHOOSE(CONTROL!$C$12, $D$11, 100%, $F$11)</f>
        <v>5.0186999999999999</v>
      </c>
      <c r="G103" s="8">
        <f>3.9253 * CHOOSE( CONTROL!$C$12, $D$11, 100%, $F$11)</f>
        <v>3.9253</v>
      </c>
      <c r="H103" s="4">
        <f>4.8159 * CHOOSE(CONTROL!$C$12, $D$11, 100%, $F$11)</f>
        <v>4.8159000000000001</v>
      </c>
      <c r="I103" s="8">
        <f>3.9071 * CHOOSE(CONTROL!$C$12, $D$11, 100%, $F$11)</f>
        <v>3.9070999999999998</v>
      </c>
      <c r="J103" s="4">
        <f>3.847 * CHOOSE(CONTROL!$C$12, $D$11, 100%, $F$11)</f>
        <v>3.847</v>
      </c>
      <c r="K103" s="4"/>
      <c r="L103" s="9">
        <v>27.3993</v>
      </c>
      <c r="M103" s="9">
        <v>12.063700000000001</v>
      </c>
      <c r="N103" s="9">
        <v>4.9444999999999997</v>
      </c>
      <c r="O103" s="9">
        <v>0.37459999999999999</v>
      </c>
      <c r="P103" s="9">
        <v>1.2939000000000001</v>
      </c>
      <c r="Q103" s="9">
        <v>32.624400000000001</v>
      </c>
      <c r="R103" s="9"/>
      <c r="S103" s="11"/>
    </row>
    <row r="104" spans="1:19" ht="15.75">
      <c r="A104" s="13">
        <v>45017</v>
      </c>
      <c r="B104" s="8">
        <f>4.0808 * CHOOSE(CONTROL!$C$12, $D$11, 100%, $F$11)</f>
        <v>4.0808</v>
      </c>
      <c r="C104" s="8">
        <f>4.0913 * CHOOSE(CONTROL!$C$12, $D$11, 100%, $F$11)</f>
        <v>4.0913000000000004</v>
      </c>
      <c r="D104" s="8">
        <f>4.0945 * CHOOSE( CONTROL!$C$12, $D$11, 100%, $F$11)</f>
        <v>4.0945</v>
      </c>
      <c r="E104" s="12">
        <f>4.0922 * CHOOSE( CONTROL!$C$12, $D$11, 100%, $F$11)</f>
        <v>4.0922000000000001</v>
      </c>
      <c r="F104" s="4">
        <f>5.0881 * CHOOSE(CONTROL!$C$12, $D$11, 100%, $F$11)</f>
        <v>5.0880999999999998</v>
      </c>
      <c r="G104" s="8">
        <f>3.9726 * CHOOSE( CONTROL!$C$12, $D$11, 100%, $F$11)</f>
        <v>3.9725999999999999</v>
      </c>
      <c r="H104" s="4">
        <f>4.8835 * CHOOSE(CONTROL!$C$12, $D$11, 100%, $F$11)</f>
        <v>4.8834999999999997</v>
      </c>
      <c r="I104" s="8">
        <f>3.9557 * CHOOSE(CONTROL!$C$12, $D$11, 100%, $F$11)</f>
        <v>3.9557000000000002</v>
      </c>
      <c r="J104" s="4">
        <f>3.9055 * CHOOSE(CONTROL!$C$12, $D$11, 100%, $F$11)</f>
        <v>3.9055</v>
      </c>
      <c r="K104" s="4"/>
      <c r="L104" s="9">
        <v>27.988800000000001</v>
      </c>
      <c r="M104" s="9">
        <v>11.6745</v>
      </c>
      <c r="N104" s="9">
        <v>4.7850000000000001</v>
      </c>
      <c r="O104" s="9">
        <v>0.36249999999999999</v>
      </c>
      <c r="P104" s="9">
        <v>1.1798</v>
      </c>
      <c r="Q104" s="9">
        <v>31.571999999999999</v>
      </c>
      <c r="R104" s="9"/>
      <c r="S104" s="11"/>
    </row>
    <row r="105" spans="1:19" ht="15.75">
      <c r="A105" s="13">
        <v>45047</v>
      </c>
      <c r="B105" s="8">
        <f>CHOOSE( CONTROL!$C$29, 4.1937, 4.1895) * CHOOSE(CONTROL!$C$12, $D$11, 100%, $F$11)</f>
        <v>4.1936999999999998</v>
      </c>
      <c r="C105" s="8">
        <f>CHOOSE( CONTROL!$C$29, 4.2041, 4.1999) * CHOOSE(CONTROL!$C$12, $D$11, 100%, $F$11)</f>
        <v>4.2041000000000004</v>
      </c>
      <c r="D105" s="8">
        <f>CHOOSE( CONTROL!$C$29, 4.182, 4.1778) * CHOOSE( CONTROL!$C$12, $D$11, 100%, $F$11)</f>
        <v>4.1820000000000004</v>
      </c>
      <c r="E105" s="12">
        <f>CHOOSE( CONTROL!$C$29, 4.1884, 4.1842) * CHOOSE( CONTROL!$C$12, $D$11, 100%, $F$11)</f>
        <v>4.1883999999999997</v>
      </c>
      <c r="F105" s="4">
        <f>CHOOSE( CONTROL!$C$29, 5.1686, 5.1644) * CHOOSE(CONTROL!$C$12, $D$11, 100%, $F$11)</f>
        <v>5.1685999999999996</v>
      </c>
      <c r="G105" s="8">
        <f>CHOOSE( CONTROL!$C$29, 4.0639, 4.0597) * CHOOSE( CONTROL!$C$12, $D$11, 100%, $F$11)</f>
        <v>4.0639000000000003</v>
      </c>
      <c r="H105" s="4">
        <f>CHOOSE( CONTROL!$C$29, 4.962, 4.9578) * CHOOSE(CONTROL!$C$12, $D$11, 100%, $F$11)</f>
        <v>4.9619999999999997</v>
      </c>
      <c r="I105" s="8">
        <f>CHOOSE( CONTROL!$C$29, 4.0423, 4.0383) * CHOOSE(CONTROL!$C$12, $D$11, 100%, $F$11)</f>
        <v>4.0423</v>
      </c>
      <c r="J105" s="4">
        <f>CHOOSE( CONTROL!$C$29, 4.0136, 4.0096) * CHOOSE(CONTROL!$C$12, $D$11, 100%, $F$11)</f>
        <v>4.0136000000000003</v>
      </c>
      <c r="K105" s="4"/>
      <c r="L105" s="9">
        <v>29.520499999999998</v>
      </c>
      <c r="M105" s="9">
        <v>12.063700000000001</v>
      </c>
      <c r="N105" s="9">
        <v>4.9444999999999997</v>
      </c>
      <c r="O105" s="9">
        <v>0.37459999999999999</v>
      </c>
      <c r="P105" s="9">
        <v>1.2192000000000001</v>
      </c>
      <c r="Q105" s="9">
        <v>32.624400000000001</v>
      </c>
      <c r="R105" s="9"/>
      <c r="S105" s="11"/>
    </row>
    <row r="106" spans="1:19" ht="15.75">
      <c r="A106" s="13">
        <v>45078</v>
      </c>
      <c r="B106" s="8">
        <f>CHOOSE( CONTROL!$C$29, 4.1264, 4.1222) * CHOOSE(CONTROL!$C$12, $D$11, 100%, $F$11)</f>
        <v>4.1264000000000003</v>
      </c>
      <c r="C106" s="8">
        <f>CHOOSE( CONTROL!$C$29, 4.1369, 4.1326) * CHOOSE(CONTROL!$C$12, $D$11, 100%, $F$11)</f>
        <v>4.1368999999999998</v>
      </c>
      <c r="D106" s="8">
        <f>CHOOSE( CONTROL!$C$29, 4.1092, 4.1049) * CHOOSE( CONTROL!$C$12, $D$11, 100%, $F$11)</f>
        <v>4.1092000000000004</v>
      </c>
      <c r="E106" s="12">
        <f>CHOOSE( CONTROL!$C$29, 4.1176, 4.1134) * CHOOSE( CONTROL!$C$12, $D$11, 100%, $F$11)</f>
        <v>4.1176000000000004</v>
      </c>
      <c r="F106" s="4">
        <f>CHOOSE( CONTROL!$C$29, 5.0909, 5.0866) * CHOOSE(CONTROL!$C$12, $D$11, 100%, $F$11)</f>
        <v>5.0909000000000004</v>
      </c>
      <c r="G106" s="8">
        <f>CHOOSE( CONTROL!$C$29, 3.997, 3.9929) * CHOOSE( CONTROL!$C$12, $D$11, 100%, $F$11)</f>
        <v>3.9969999999999999</v>
      </c>
      <c r="H106" s="4">
        <f>CHOOSE( CONTROL!$C$29, 4.8862, 4.8821) * CHOOSE(CONTROL!$C$12, $D$11, 100%, $F$11)</f>
        <v>4.8861999999999997</v>
      </c>
      <c r="I106" s="8">
        <f>CHOOSE( CONTROL!$C$29, 3.98, 3.9759) * CHOOSE(CONTROL!$C$12, $D$11, 100%, $F$11)</f>
        <v>3.98</v>
      </c>
      <c r="J106" s="4">
        <f>CHOOSE( CONTROL!$C$29, 3.9492, 3.9451) * CHOOSE(CONTROL!$C$12, $D$11, 100%, $F$11)</f>
        <v>3.9491999999999998</v>
      </c>
      <c r="K106" s="4"/>
      <c r="L106" s="9">
        <v>28.568200000000001</v>
      </c>
      <c r="M106" s="9">
        <v>11.6745</v>
      </c>
      <c r="N106" s="9">
        <v>4.7850000000000001</v>
      </c>
      <c r="O106" s="9">
        <v>0.36249999999999999</v>
      </c>
      <c r="P106" s="9">
        <v>1.1798</v>
      </c>
      <c r="Q106" s="9">
        <v>31.571999999999999</v>
      </c>
      <c r="R106" s="9"/>
      <c r="S106" s="11"/>
    </row>
    <row r="107" spans="1:19" ht="15.75">
      <c r="A107" s="13">
        <v>45108</v>
      </c>
      <c r="B107" s="8">
        <f>CHOOSE( CONTROL!$C$29, 4.3036, 4.2993) * CHOOSE(CONTROL!$C$12, $D$11, 100%, $F$11)</f>
        <v>4.3036000000000003</v>
      </c>
      <c r="C107" s="8">
        <f>CHOOSE( CONTROL!$C$29, 4.314, 4.3098) * CHOOSE(CONTROL!$C$12, $D$11, 100%, $F$11)</f>
        <v>4.3140000000000001</v>
      </c>
      <c r="D107" s="8">
        <f>CHOOSE( CONTROL!$C$29, 4.3201, 4.3159) * CHOOSE( CONTROL!$C$12, $D$11, 100%, $F$11)</f>
        <v>4.3201000000000001</v>
      </c>
      <c r="E107" s="12">
        <f>CHOOSE( CONTROL!$C$29, 4.3163, 4.3121) * CHOOSE( CONTROL!$C$12, $D$11, 100%, $F$11)</f>
        <v>4.3163</v>
      </c>
      <c r="F107" s="4">
        <f>CHOOSE( CONTROL!$C$29, 5.3134, 5.3092) * CHOOSE(CONTROL!$C$12, $D$11, 100%, $F$11)</f>
        <v>5.3133999999999997</v>
      </c>
      <c r="G107" s="8">
        <f>CHOOSE( CONTROL!$C$29, 4.1958, 4.1916) * CHOOSE( CONTROL!$C$12, $D$11, 100%, $F$11)</f>
        <v>4.1958000000000002</v>
      </c>
      <c r="H107" s="4">
        <f>CHOOSE( CONTROL!$C$29, 5.1032, 5.099) * CHOOSE(CONTROL!$C$12, $D$11, 100%, $F$11)</f>
        <v>5.1032000000000002</v>
      </c>
      <c r="I107" s="8">
        <f>CHOOSE( CONTROL!$C$29, 4.2051, 4.2011) * CHOOSE(CONTROL!$C$12, $D$11, 100%, $F$11)</f>
        <v>4.2050999999999998</v>
      </c>
      <c r="J107" s="4">
        <f>CHOOSE( CONTROL!$C$29, 4.1189, 4.1149) * CHOOSE(CONTROL!$C$12, $D$11, 100%, $F$11)</f>
        <v>4.1189</v>
      </c>
      <c r="K107" s="4"/>
      <c r="L107" s="9">
        <v>29.520499999999998</v>
      </c>
      <c r="M107" s="9">
        <v>12.063700000000001</v>
      </c>
      <c r="N107" s="9">
        <v>4.9444999999999997</v>
      </c>
      <c r="O107" s="9">
        <v>0.37459999999999999</v>
      </c>
      <c r="P107" s="9">
        <v>1.2192000000000001</v>
      </c>
      <c r="Q107" s="9">
        <v>32.624400000000001</v>
      </c>
      <c r="R107" s="9"/>
      <c r="S107" s="11"/>
    </row>
    <row r="108" spans="1:19" ht="15.75">
      <c r="A108" s="13">
        <v>45139</v>
      </c>
      <c r="B108" s="8">
        <f>CHOOSE( CONTROL!$C$29, 3.9721, 3.9678) * CHOOSE(CONTROL!$C$12, $D$11, 100%, $F$11)</f>
        <v>3.9721000000000002</v>
      </c>
      <c r="C108" s="8">
        <f>CHOOSE( CONTROL!$C$29, 3.9825, 3.9783) * CHOOSE(CONTROL!$C$12, $D$11, 100%, $F$11)</f>
        <v>3.9824999999999999</v>
      </c>
      <c r="D108" s="8">
        <f>CHOOSE( CONTROL!$C$29, 4.0051, 4.0009) * CHOOSE( CONTROL!$C$12, $D$11, 100%, $F$11)</f>
        <v>4.0050999999999997</v>
      </c>
      <c r="E108" s="12">
        <f>CHOOSE( CONTROL!$C$29, 3.9953, 3.9911) * CHOOSE( CONTROL!$C$12, $D$11, 100%, $F$11)</f>
        <v>3.9952999999999999</v>
      </c>
      <c r="F108" s="4">
        <f>CHOOSE( CONTROL!$C$29, 5.0107, 5.0064) * CHOOSE(CONTROL!$C$12, $D$11, 100%, $F$11)</f>
        <v>5.0106999999999999</v>
      </c>
      <c r="G108" s="8">
        <f>CHOOSE( CONTROL!$C$29, 3.8782, 3.8741) * CHOOSE( CONTROL!$C$12, $D$11, 100%, $F$11)</f>
        <v>3.8782000000000001</v>
      </c>
      <c r="H108" s="4">
        <f>CHOOSE( CONTROL!$C$29, 4.808, 4.8039) * CHOOSE(CONTROL!$C$12, $D$11, 100%, $F$11)</f>
        <v>4.8079999999999998</v>
      </c>
      <c r="I108" s="8">
        <f>CHOOSE( CONTROL!$C$29, 3.8788, 3.8748) * CHOOSE(CONTROL!$C$12, $D$11, 100%, $F$11)</f>
        <v>3.8788</v>
      </c>
      <c r="J108" s="4">
        <f>CHOOSE( CONTROL!$C$29, 3.8013, 3.7972) * CHOOSE(CONTROL!$C$12, $D$11, 100%, $F$11)</f>
        <v>3.8012999999999999</v>
      </c>
      <c r="K108" s="4"/>
      <c r="L108" s="9">
        <v>29.520499999999998</v>
      </c>
      <c r="M108" s="9">
        <v>12.063700000000001</v>
      </c>
      <c r="N108" s="9">
        <v>4.9444999999999997</v>
      </c>
      <c r="O108" s="9">
        <v>0.37459999999999999</v>
      </c>
      <c r="P108" s="9">
        <v>1.2192000000000001</v>
      </c>
      <c r="Q108" s="9">
        <v>32.624400000000001</v>
      </c>
      <c r="R108" s="9"/>
      <c r="S108" s="11"/>
    </row>
    <row r="109" spans="1:19" ht="15.75">
      <c r="A109" s="13">
        <v>45170</v>
      </c>
      <c r="B109" s="8">
        <f>CHOOSE( CONTROL!$C$29, 3.8891, 3.8848) * CHOOSE(CONTROL!$C$12, $D$11, 100%, $F$11)</f>
        <v>3.8891</v>
      </c>
      <c r="C109" s="8">
        <f>CHOOSE( CONTROL!$C$29, 3.8995, 3.8953) * CHOOSE(CONTROL!$C$12, $D$11, 100%, $F$11)</f>
        <v>3.8995000000000002</v>
      </c>
      <c r="D109" s="8">
        <f>CHOOSE( CONTROL!$C$29, 3.9221, 3.9178) * CHOOSE( CONTROL!$C$12, $D$11, 100%, $F$11)</f>
        <v>3.9220999999999999</v>
      </c>
      <c r="E109" s="12">
        <f>CHOOSE( CONTROL!$C$29, 3.9123, 3.908) * CHOOSE( CONTROL!$C$12, $D$11, 100%, $F$11)</f>
        <v>3.9123000000000001</v>
      </c>
      <c r="F109" s="4">
        <f>CHOOSE( CONTROL!$C$29, 4.9276, 4.9234) * CHOOSE(CONTROL!$C$12, $D$11, 100%, $F$11)</f>
        <v>4.9276</v>
      </c>
      <c r="G109" s="8">
        <f>CHOOSE( CONTROL!$C$29, 3.797, 3.7929) * CHOOSE( CONTROL!$C$12, $D$11, 100%, $F$11)</f>
        <v>3.7970000000000002</v>
      </c>
      <c r="H109" s="4">
        <f>CHOOSE( CONTROL!$C$29, 4.7271, 4.7229) * CHOOSE(CONTROL!$C$12, $D$11, 100%, $F$11)</f>
        <v>4.7271000000000001</v>
      </c>
      <c r="I109" s="8">
        <f>CHOOSE( CONTROL!$C$29, 3.7975, 3.7935) * CHOOSE(CONTROL!$C$12, $D$11, 100%, $F$11)</f>
        <v>3.7974999999999999</v>
      </c>
      <c r="J109" s="4">
        <f>CHOOSE( CONTROL!$C$29, 3.7218, 3.7177) * CHOOSE(CONTROL!$C$12, $D$11, 100%, $F$11)</f>
        <v>3.7218</v>
      </c>
      <c r="K109" s="4"/>
      <c r="L109" s="9">
        <v>28.568200000000001</v>
      </c>
      <c r="M109" s="9">
        <v>11.6745</v>
      </c>
      <c r="N109" s="9">
        <v>4.7850000000000001</v>
      </c>
      <c r="O109" s="9">
        <v>0.36249999999999999</v>
      </c>
      <c r="P109" s="9">
        <v>1.1798</v>
      </c>
      <c r="Q109" s="9">
        <v>31.571999999999999</v>
      </c>
      <c r="R109" s="9"/>
      <c r="S109" s="11"/>
    </row>
    <row r="110" spans="1:19" ht="15.75">
      <c r="A110" s="13">
        <v>45200</v>
      </c>
      <c r="B110" s="8">
        <f>4.0572 * CHOOSE(CONTROL!$C$12, $D$11, 100%, $F$11)</f>
        <v>4.0571999999999999</v>
      </c>
      <c r="C110" s="8">
        <f>4.0676 * CHOOSE(CONTROL!$C$12, $D$11, 100%, $F$11)</f>
        <v>4.0675999999999997</v>
      </c>
      <c r="D110" s="8">
        <f>4.0721 * CHOOSE( CONTROL!$C$12, $D$11, 100%, $F$11)</f>
        <v>4.0720999999999998</v>
      </c>
      <c r="E110" s="12">
        <f>4.0695 * CHOOSE( CONTROL!$C$12, $D$11, 100%, $F$11)</f>
        <v>4.0694999999999997</v>
      </c>
      <c r="F110" s="4">
        <f>5.0644 * CHOOSE(CONTROL!$C$12, $D$11, 100%, $F$11)</f>
        <v>5.0644</v>
      </c>
      <c r="G110" s="8">
        <f>3.9512 * CHOOSE( CONTROL!$C$12, $D$11, 100%, $F$11)</f>
        <v>3.9512</v>
      </c>
      <c r="H110" s="4">
        <f>4.8604 * CHOOSE(CONTROL!$C$12, $D$11, 100%, $F$11)</f>
        <v>4.8604000000000003</v>
      </c>
      <c r="I110" s="8">
        <f>3.9553 * CHOOSE(CONTROL!$C$12, $D$11, 100%, $F$11)</f>
        <v>3.9552999999999998</v>
      </c>
      <c r="J110" s="4">
        <f>3.8828 * CHOOSE(CONTROL!$C$12, $D$11, 100%, $F$11)</f>
        <v>3.8828</v>
      </c>
      <c r="K110" s="4"/>
      <c r="L110" s="9">
        <v>28.921800000000001</v>
      </c>
      <c r="M110" s="9">
        <v>12.063700000000001</v>
      </c>
      <c r="N110" s="9">
        <v>4.9444999999999997</v>
      </c>
      <c r="O110" s="9">
        <v>0.37459999999999999</v>
      </c>
      <c r="P110" s="9">
        <v>1.2192000000000001</v>
      </c>
      <c r="Q110" s="9">
        <v>32.624400000000001</v>
      </c>
      <c r="R110" s="9"/>
      <c r="S110" s="11"/>
    </row>
    <row r="111" spans="1:19" ht="15.75">
      <c r="A111" s="13">
        <v>45231</v>
      </c>
      <c r="B111" s="8">
        <f>4.3753 * CHOOSE(CONTROL!$C$12, $D$11, 100%, $F$11)</f>
        <v>4.3753000000000002</v>
      </c>
      <c r="C111" s="8">
        <f>4.3858 * CHOOSE(CONTROL!$C$12, $D$11, 100%, $F$11)</f>
        <v>4.3857999999999997</v>
      </c>
      <c r="D111" s="8">
        <f>4.3682 * CHOOSE( CONTROL!$C$12, $D$11, 100%, $F$11)</f>
        <v>4.3681999999999999</v>
      </c>
      <c r="E111" s="12">
        <f>4.3735 * CHOOSE( CONTROL!$C$12, $D$11, 100%, $F$11)</f>
        <v>4.3734999999999999</v>
      </c>
      <c r="F111" s="4">
        <f>5.3695 * CHOOSE(CONTROL!$C$12, $D$11, 100%, $F$11)</f>
        <v>5.3695000000000004</v>
      </c>
      <c r="G111" s="8">
        <f>4.2737 * CHOOSE( CONTROL!$C$12, $D$11, 100%, $F$11)</f>
        <v>4.2736999999999998</v>
      </c>
      <c r="H111" s="4">
        <f>5.1578 * CHOOSE(CONTROL!$C$12, $D$11, 100%, $F$11)</f>
        <v>5.1577999999999999</v>
      </c>
      <c r="I111" s="8">
        <f>4.2838 * CHOOSE(CONTROL!$C$12, $D$11, 100%, $F$11)</f>
        <v>4.2838000000000003</v>
      </c>
      <c r="J111" s="4">
        <f>4.1877 * CHOOSE(CONTROL!$C$12, $D$11, 100%, $F$11)</f>
        <v>4.1877000000000004</v>
      </c>
      <c r="K111" s="4"/>
      <c r="L111" s="9">
        <v>26.515499999999999</v>
      </c>
      <c r="M111" s="9">
        <v>11.6745</v>
      </c>
      <c r="N111" s="9">
        <v>4.7850000000000001</v>
      </c>
      <c r="O111" s="9">
        <v>0.36249999999999999</v>
      </c>
      <c r="P111" s="9">
        <v>1.2522</v>
      </c>
      <c r="Q111" s="9">
        <v>31.571999999999999</v>
      </c>
      <c r="R111" s="9"/>
      <c r="S111" s="11"/>
    </row>
    <row r="112" spans="1:19" ht="15.75">
      <c r="A112" s="13">
        <v>45261</v>
      </c>
      <c r="B112" s="8">
        <f>4.3674 * CHOOSE(CONTROL!$C$12, $D$11, 100%, $F$11)</f>
        <v>4.3673999999999999</v>
      </c>
      <c r="C112" s="8">
        <f>4.3778 * CHOOSE(CONTROL!$C$12, $D$11, 100%, $F$11)</f>
        <v>4.3777999999999997</v>
      </c>
      <c r="D112" s="8">
        <f>4.3622 * CHOOSE( CONTROL!$C$12, $D$11, 100%, $F$11)</f>
        <v>4.3621999999999996</v>
      </c>
      <c r="E112" s="12">
        <f>4.3668 * CHOOSE( CONTROL!$C$12, $D$11, 100%, $F$11)</f>
        <v>4.3667999999999996</v>
      </c>
      <c r="F112" s="4">
        <f>5.3616 * CHOOSE(CONTROL!$C$12, $D$11, 100%, $F$11)</f>
        <v>5.3616000000000001</v>
      </c>
      <c r="G112" s="8">
        <f>4.2675 * CHOOSE( CONTROL!$C$12, $D$11, 100%, $F$11)</f>
        <v>4.2675000000000001</v>
      </c>
      <c r="H112" s="4">
        <f>5.1501 * CHOOSE(CONTROL!$C$12, $D$11, 100%, $F$11)</f>
        <v>5.1501000000000001</v>
      </c>
      <c r="I112" s="8">
        <f>4.2834 * CHOOSE(CONTROL!$C$12, $D$11, 100%, $F$11)</f>
        <v>4.2834000000000003</v>
      </c>
      <c r="J112" s="4">
        <f>4.1801 * CHOOSE(CONTROL!$C$12, $D$11, 100%, $F$11)</f>
        <v>4.1801000000000004</v>
      </c>
      <c r="K112" s="4"/>
      <c r="L112" s="9">
        <v>27.3993</v>
      </c>
      <c r="M112" s="9">
        <v>12.063700000000001</v>
      </c>
      <c r="N112" s="9">
        <v>4.9444999999999997</v>
      </c>
      <c r="O112" s="9">
        <v>0.37459999999999999</v>
      </c>
      <c r="P112" s="9">
        <v>1.2939000000000001</v>
      </c>
      <c r="Q112" s="9">
        <v>32.624400000000001</v>
      </c>
      <c r="R112" s="9"/>
      <c r="S112" s="11"/>
    </row>
    <row r="113" spans="1:19" ht="15.75">
      <c r="A113" s="13">
        <v>45292</v>
      </c>
      <c r="B113" s="8">
        <f>4.61 * CHOOSE(CONTROL!$C$12, $D$11, 100%, $F$11)</f>
        <v>4.6100000000000003</v>
      </c>
      <c r="C113" s="8">
        <f>4.6204 * CHOOSE(CONTROL!$C$12, $D$11, 100%, $F$11)</f>
        <v>4.6204000000000001</v>
      </c>
      <c r="D113" s="8">
        <f>4.6181 * CHOOSE( CONTROL!$C$12, $D$11, 100%, $F$11)</f>
        <v>4.6181000000000001</v>
      </c>
      <c r="E113" s="12">
        <f>4.6178 * CHOOSE( CONTROL!$C$12, $D$11, 100%, $F$11)</f>
        <v>4.6177999999999999</v>
      </c>
      <c r="F113" s="4">
        <f>5.6329 * CHOOSE(CONTROL!$C$12, $D$11, 100%, $F$11)</f>
        <v>5.6329000000000002</v>
      </c>
      <c r="G113" s="8">
        <f>4.5212 * CHOOSE( CONTROL!$C$12, $D$11, 100%, $F$11)</f>
        <v>4.5212000000000003</v>
      </c>
      <c r="H113" s="4">
        <f>5.4145 * CHOOSE(CONTROL!$C$12, $D$11, 100%, $F$11)</f>
        <v>5.4145000000000003</v>
      </c>
      <c r="I113" s="8">
        <f>4.5233 * CHOOSE(CONTROL!$C$12, $D$11, 100%, $F$11)</f>
        <v>4.5232999999999999</v>
      </c>
      <c r="J113" s="4">
        <f>4.4125 * CHOOSE(CONTROL!$C$12, $D$11, 100%, $F$11)</f>
        <v>4.4124999999999996</v>
      </c>
      <c r="K113" s="4"/>
      <c r="L113" s="9">
        <v>27.3993</v>
      </c>
      <c r="M113" s="9">
        <v>12.063700000000001</v>
      </c>
      <c r="N113" s="9">
        <v>4.9444999999999997</v>
      </c>
      <c r="O113" s="9">
        <v>0.37459999999999999</v>
      </c>
      <c r="P113" s="9">
        <v>1.2939000000000001</v>
      </c>
      <c r="Q113" s="9">
        <v>32.440300000000001</v>
      </c>
      <c r="R113" s="9"/>
      <c r="S113" s="11"/>
    </row>
    <row r="114" spans="1:19" ht="15.75">
      <c r="A114" s="13">
        <v>45323</v>
      </c>
      <c r="B114" s="8">
        <f>4.3123 * CHOOSE(CONTROL!$C$12, $D$11, 100%, $F$11)</f>
        <v>4.3122999999999996</v>
      </c>
      <c r="C114" s="8">
        <f>4.3227 * CHOOSE(CONTROL!$C$12, $D$11, 100%, $F$11)</f>
        <v>4.3227000000000002</v>
      </c>
      <c r="D114" s="8">
        <f>4.3227 * CHOOSE( CONTROL!$C$12, $D$11, 100%, $F$11)</f>
        <v>4.3227000000000002</v>
      </c>
      <c r="E114" s="12">
        <f>4.3216 * CHOOSE( CONTROL!$C$12, $D$11, 100%, $F$11)</f>
        <v>4.3216000000000001</v>
      </c>
      <c r="F114" s="4">
        <f>5.3273 * CHOOSE(CONTROL!$C$12, $D$11, 100%, $F$11)</f>
        <v>5.3273000000000001</v>
      </c>
      <c r="G114" s="8">
        <f>4.2308 * CHOOSE( CONTROL!$C$12, $D$11, 100%, $F$11)</f>
        <v>4.2308000000000003</v>
      </c>
      <c r="H114" s="4">
        <f>5.1167 * CHOOSE(CONTROL!$C$12, $D$11, 100%, $F$11)</f>
        <v>5.1166999999999998</v>
      </c>
      <c r="I114" s="8">
        <f>4.227 * CHOOSE(CONTROL!$C$12, $D$11, 100%, $F$11)</f>
        <v>4.2270000000000003</v>
      </c>
      <c r="J114" s="4">
        <f>4.1273 * CHOOSE(CONTROL!$C$12, $D$11, 100%, $F$11)</f>
        <v>4.1273</v>
      </c>
      <c r="K114" s="4"/>
      <c r="L114" s="9">
        <v>25.631599999999999</v>
      </c>
      <c r="M114" s="9">
        <v>11.285299999999999</v>
      </c>
      <c r="N114" s="9">
        <v>4.6254999999999997</v>
      </c>
      <c r="O114" s="9">
        <v>0.35039999999999999</v>
      </c>
      <c r="P114" s="9">
        <v>1.2104999999999999</v>
      </c>
      <c r="Q114" s="9">
        <v>30.347300000000001</v>
      </c>
      <c r="R114" s="9"/>
      <c r="S114" s="11"/>
    </row>
    <row r="115" spans="1:19" ht="15.75">
      <c r="A115" s="13">
        <v>45352</v>
      </c>
      <c r="B115" s="8">
        <f>4.2206 * CHOOSE(CONTROL!$C$12, $D$11, 100%, $F$11)</f>
        <v>4.2206000000000001</v>
      </c>
      <c r="C115" s="8">
        <f>4.231 * CHOOSE(CONTROL!$C$12, $D$11, 100%, $F$11)</f>
        <v>4.2309999999999999</v>
      </c>
      <c r="D115" s="8">
        <f>4.2108 * CHOOSE( CONTROL!$C$12, $D$11, 100%, $F$11)</f>
        <v>4.2107999999999999</v>
      </c>
      <c r="E115" s="12">
        <f>4.2171 * CHOOSE( CONTROL!$C$12, $D$11, 100%, $F$11)</f>
        <v>4.2171000000000003</v>
      </c>
      <c r="F115" s="4">
        <f>5.2195 * CHOOSE(CONTROL!$C$12, $D$11, 100%, $F$11)</f>
        <v>5.2195</v>
      </c>
      <c r="G115" s="8">
        <f>4.1209 * CHOOSE( CONTROL!$C$12, $D$11, 100%, $F$11)</f>
        <v>4.1208999999999998</v>
      </c>
      <c r="H115" s="4">
        <f>5.0116 * CHOOSE(CONTROL!$C$12, $D$11, 100%, $F$11)</f>
        <v>5.0115999999999996</v>
      </c>
      <c r="I115" s="8">
        <f>4.0996 * CHOOSE(CONTROL!$C$12, $D$11, 100%, $F$11)</f>
        <v>4.0995999999999997</v>
      </c>
      <c r="J115" s="4">
        <f>4.0394 * CHOOSE(CONTROL!$C$12, $D$11, 100%, $F$11)</f>
        <v>4.0393999999999997</v>
      </c>
      <c r="K115" s="4"/>
      <c r="L115" s="9">
        <v>27.3993</v>
      </c>
      <c r="M115" s="9">
        <v>12.063700000000001</v>
      </c>
      <c r="N115" s="9">
        <v>4.9444999999999997</v>
      </c>
      <c r="O115" s="9">
        <v>0.37459999999999999</v>
      </c>
      <c r="P115" s="9">
        <v>1.2939000000000001</v>
      </c>
      <c r="Q115" s="9">
        <v>32.440300000000001</v>
      </c>
      <c r="R115" s="9"/>
      <c r="S115" s="11"/>
    </row>
    <row r="116" spans="1:19" ht="15.75">
      <c r="A116" s="13">
        <v>45383</v>
      </c>
      <c r="B116" s="8">
        <f>4.2846 * CHOOSE(CONTROL!$C$12, $D$11, 100%, $F$11)</f>
        <v>4.2846000000000002</v>
      </c>
      <c r="C116" s="8">
        <f>4.2951 * CHOOSE(CONTROL!$C$12, $D$11, 100%, $F$11)</f>
        <v>4.2950999999999997</v>
      </c>
      <c r="D116" s="8">
        <f>4.2983 * CHOOSE( CONTROL!$C$12, $D$11, 100%, $F$11)</f>
        <v>4.2983000000000002</v>
      </c>
      <c r="E116" s="12">
        <f>4.296 * CHOOSE( CONTROL!$C$12, $D$11, 100%, $F$11)</f>
        <v>4.2960000000000003</v>
      </c>
      <c r="F116" s="4">
        <f>5.2919 * CHOOSE(CONTROL!$C$12, $D$11, 100%, $F$11)</f>
        <v>5.2919</v>
      </c>
      <c r="G116" s="8">
        <f>4.1713 * CHOOSE( CONTROL!$C$12, $D$11, 100%, $F$11)</f>
        <v>4.1712999999999996</v>
      </c>
      <c r="H116" s="4">
        <f>5.0821 * CHOOSE(CONTROL!$C$12, $D$11, 100%, $F$11)</f>
        <v>5.0820999999999996</v>
      </c>
      <c r="I116" s="8">
        <f>4.1511 * CHOOSE(CONTROL!$C$12, $D$11, 100%, $F$11)</f>
        <v>4.1510999999999996</v>
      </c>
      <c r="J116" s="4">
        <f>4.1008 * CHOOSE(CONTROL!$C$12, $D$11, 100%, $F$11)</f>
        <v>4.1007999999999996</v>
      </c>
      <c r="K116" s="4"/>
      <c r="L116" s="9">
        <v>27.988800000000001</v>
      </c>
      <c r="M116" s="9">
        <v>11.6745</v>
      </c>
      <c r="N116" s="9">
        <v>4.7850000000000001</v>
      </c>
      <c r="O116" s="9">
        <v>0.36249999999999999</v>
      </c>
      <c r="P116" s="9">
        <v>1.1798</v>
      </c>
      <c r="Q116" s="9">
        <v>31.393799999999999</v>
      </c>
      <c r="R116" s="9"/>
      <c r="S116" s="11"/>
    </row>
    <row r="117" spans="1:19" ht="15.75">
      <c r="A117" s="13">
        <v>45413</v>
      </c>
      <c r="B117" s="8">
        <f>CHOOSE( CONTROL!$C$29, 4.4029, 4.3987) * CHOOSE(CONTROL!$C$12, $D$11, 100%, $F$11)</f>
        <v>4.4028999999999998</v>
      </c>
      <c r="C117" s="8">
        <f>CHOOSE( CONTROL!$C$29, 4.4134, 4.4091) * CHOOSE(CONTROL!$C$12, $D$11, 100%, $F$11)</f>
        <v>4.4134000000000002</v>
      </c>
      <c r="D117" s="8">
        <f>CHOOSE( CONTROL!$C$29, 4.3913, 4.387) * CHOOSE( CONTROL!$C$12, $D$11, 100%, $F$11)</f>
        <v>4.3913000000000002</v>
      </c>
      <c r="E117" s="12">
        <f>CHOOSE( CONTROL!$C$29, 4.3977, 4.3934) * CHOOSE( CONTROL!$C$12, $D$11, 100%, $F$11)</f>
        <v>4.3977000000000004</v>
      </c>
      <c r="F117" s="4">
        <f>CHOOSE( CONTROL!$C$29, 5.3778, 5.3736) * CHOOSE(CONTROL!$C$12, $D$11, 100%, $F$11)</f>
        <v>5.3777999999999997</v>
      </c>
      <c r="G117" s="8">
        <f>CHOOSE( CONTROL!$C$29, 4.2678, 4.2637) * CHOOSE( CONTROL!$C$12, $D$11, 100%, $F$11)</f>
        <v>4.2678000000000003</v>
      </c>
      <c r="H117" s="4">
        <f>CHOOSE( CONTROL!$C$29, 5.1659, 5.1618) * CHOOSE(CONTROL!$C$12, $D$11, 100%, $F$11)</f>
        <v>5.1658999999999997</v>
      </c>
      <c r="I117" s="8">
        <f>CHOOSE( CONTROL!$C$29, 4.2429, 4.2389) * CHOOSE(CONTROL!$C$12, $D$11, 100%, $F$11)</f>
        <v>4.2428999999999997</v>
      </c>
      <c r="J117" s="4">
        <f>CHOOSE( CONTROL!$C$29, 4.2141, 4.2101) * CHOOSE(CONTROL!$C$12, $D$11, 100%, $F$11)</f>
        <v>4.2141000000000002</v>
      </c>
      <c r="K117" s="4"/>
      <c r="L117" s="9">
        <v>29.520499999999998</v>
      </c>
      <c r="M117" s="9">
        <v>12.063700000000001</v>
      </c>
      <c r="N117" s="9">
        <v>4.9444999999999997</v>
      </c>
      <c r="O117" s="9">
        <v>0.37459999999999999</v>
      </c>
      <c r="P117" s="9">
        <v>1.2192000000000001</v>
      </c>
      <c r="Q117" s="9">
        <v>32.440300000000001</v>
      </c>
      <c r="R117" s="9"/>
      <c r="S117" s="11"/>
    </row>
    <row r="118" spans="1:19" ht="15.75">
      <c r="A118" s="13">
        <v>45444</v>
      </c>
      <c r="B118" s="8">
        <f>CHOOSE( CONTROL!$C$29, 4.3323, 4.328) * CHOOSE(CONTROL!$C$12, $D$11, 100%, $F$11)</f>
        <v>4.3323</v>
      </c>
      <c r="C118" s="8">
        <f>CHOOSE( CONTROL!$C$29, 4.3427, 4.3385) * CHOOSE(CONTROL!$C$12, $D$11, 100%, $F$11)</f>
        <v>4.3426999999999998</v>
      </c>
      <c r="D118" s="8">
        <f>CHOOSE( CONTROL!$C$29, 4.315, 4.3108) * CHOOSE( CONTROL!$C$12, $D$11, 100%, $F$11)</f>
        <v>4.3150000000000004</v>
      </c>
      <c r="E118" s="12">
        <f>CHOOSE( CONTROL!$C$29, 4.3235, 4.3192) * CHOOSE( CONTROL!$C$12, $D$11, 100%, $F$11)</f>
        <v>4.3235000000000001</v>
      </c>
      <c r="F118" s="4">
        <f>CHOOSE( CONTROL!$C$29, 5.2967, 5.2925) * CHOOSE(CONTROL!$C$12, $D$11, 100%, $F$11)</f>
        <v>5.2967000000000004</v>
      </c>
      <c r="G118" s="8">
        <f>CHOOSE( CONTROL!$C$29, 4.1977, 4.1935) * CHOOSE( CONTROL!$C$12, $D$11, 100%, $F$11)</f>
        <v>4.1977000000000002</v>
      </c>
      <c r="H118" s="4">
        <f>CHOOSE( CONTROL!$C$29, 5.0869, 5.0827) * CHOOSE(CONTROL!$C$12, $D$11, 100%, $F$11)</f>
        <v>5.0869</v>
      </c>
      <c r="I118" s="8">
        <f>CHOOSE( CONTROL!$C$29, 4.1774, 4.1733) * CHOOSE(CONTROL!$C$12, $D$11, 100%, $F$11)</f>
        <v>4.1773999999999996</v>
      </c>
      <c r="J118" s="4">
        <f>CHOOSE( CONTROL!$C$29, 4.1464, 4.1424) * CHOOSE(CONTROL!$C$12, $D$11, 100%, $F$11)</f>
        <v>4.1463999999999999</v>
      </c>
      <c r="K118" s="4"/>
      <c r="L118" s="9">
        <v>28.568200000000001</v>
      </c>
      <c r="M118" s="9">
        <v>11.6745</v>
      </c>
      <c r="N118" s="9">
        <v>4.7850000000000001</v>
      </c>
      <c r="O118" s="9">
        <v>0.36249999999999999</v>
      </c>
      <c r="P118" s="9">
        <v>1.1798</v>
      </c>
      <c r="Q118" s="9">
        <v>31.393799999999999</v>
      </c>
      <c r="R118" s="9"/>
      <c r="S118" s="11"/>
    </row>
    <row r="119" spans="1:19" ht="15.75">
      <c r="A119" s="13">
        <v>45474</v>
      </c>
      <c r="B119" s="8">
        <f>CHOOSE( CONTROL!$C$29, 4.5183, 4.5141) * CHOOSE(CONTROL!$C$12, $D$11, 100%, $F$11)</f>
        <v>4.5183</v>
      </c>
      <c r="C119" s="8">
        <f>CHOOSE( CONTROL!$C$29, 4.5287, 4.5245) * CHOOSE(CONTROL!$C$12, $D$11, 100%, $F$11)</f>
        <v>4.5286999999999997</v>
      </c>
      <c r="D119" s="8">
        <f>CHOOSE( CONTROL!$C$29, 4.5349, 4.5306) * CHOOSE( CONTROL!$C$12, $D$11, 100%, $F$11)</f>
        <v>4.5349000000000004</v>
      </c>
      <c r="E119" s="12">
        <f>CHOOSE( CONTROL!$C$29, 4.5311, 4.5268) * CHOOSE( CONTROL!$C$12, $D$11, 100%, $F$11)</f>
        <v>4.5311000000000003</v>
      </c>
      <c r="F119" s="4">
        <f>CHOOSE( CONTROL!$C$29, 5.5282, 5.5239) * CHOOSE(CONTROL!$C$12, $D$11, 100%, $F$11)</f>
        <v>5.5282</v>
      </c>
      <c r="G119" s="8">
        <f>CHOOSE( CONTROL!$C$29, 4.4051, 4.4009) * CHOOSE( CONTROL!$C$12, $D$11, 100%, $F$11)</f>
        <v>4.4051</v>
      </c>
      <c r="H119" s="4">
        <f>CHOOSE( CONTROL!$C$29, 5.3125, 5.3083) * CHOOSE(CONTROL!$C$12, $D$11, 100%, $F$11)</f>
        <v>5.3125</v>
      </c>
      <c r="I119" s="8">
        <f>CHOOSE( CONTROL!$C$29, 4.411, 4.4069) * CHOOSE(CONTROL!$C$12, $D$11, 100%, $F$11)</f>
        <v>4.4109999999999996</v>
      </c>
      <c r="J119" s="4">
        <f>CHOOSE( CONTROL!$C$29, 4.3247, 4.3206) * CHOOSE(CONTROL!$C$12, $D$11, 100%, $F$11)</f>
        <v>4.3247</v>
      </c>
      <c r="K119" s="4"/>
      <c r="L119" s="9">
        <v>29.520499999999998</v>
      </c>
      <c r="M119" s="9">
        <v>12.063700000000001</v>
      </c>
      <c r="N119" s="9">
        <v>4.9444999999999997</v>
      </c>
      <c r="O119" s="9">
        <v>0.37459999999999999</v>
      </c>
      <c r="P119" s="9">
        <v>1.2192000000000001</v>
      </c>
      <c r="Q119" s="9">
        <v>32.440300000000001</v>
      </c>
      <c r="R119" s="9"/>
      <c r="S119" s="11"/>
    </row>
    <row r="120" spans="1:19" ht="15.75">
      <c r="A120" s="13">
        <v>45505</v>
      </c>
      <c r="B120" s="8">
        <f>CHOOSE( CONTROL!$C$29, 4.1702, 4.166) * CHOOSE(CONTROL!$C$12, $D$11, 100%, $F$11)</f>
        <v>4.1702000000000004</v>
      </c>
      <c r="C120" s="8">
        <f>CHOOSE( CONTROL!$C$29, 4.1807, 4.1764) * CHOOSE(CONTROL!$C$12, $D$11, 100%, $F$11)</f>
        <v>4.1806999999999999</v>
      </c>
      <c r="D120" s="8">
        <f>CHOOSE( CONTROL!$C$29, 4.2033, 4.199) * CHOOSE( CONTROL!$C$12, $D$11, 100%, $F$11)</f>
        <v>4.2032999999999996</v>
      </c>
      <c r="E120" s="12">
        <f>CHOOSE( CONTROL!$C$29, 4.1935, 4.1892) * CHOOSE( CONTROL!$C$12, $D$11, 100%, $F$11)</f>
        <v>4.1935000000000002</v>
      </c>
      <c r="F120" s="4">
        <f>CHOOSE( CONTROL!$C$29, 5.2088, 5.2046) * CHOOSE(CONTROL!$C$12, $D$11, 100%, $F$11)</f>
        <v>5.2088000000000001</v>
      </c>
      <c r="G120" s="8">
        <f>CHOOSE( CONTROL!$C$29, 4.0714, 4.0672) * CHOOSE( CONTROL!$C$12, $D$11, 100%, $F$11)</f>
        <v>4.0713999999999997</v>
      </c>
      <c r="H120" s="4">
        <f>CHOOSE( CONTROL!$C$29, 5.0011, 4.997) * CHOOSE(CONTROL!$C$12, $D$11, 100%, $F$11)</f>
        <v>5.0011000000000001</v>
      </c>
      <c r="I120" s="8">
        <f>CHOOSE( CONTROL!$C$29, 4.0688, 4.0647) * CHOOSE(CONTROL!$C$12, $D$11, 100%, $F$11)</f>
        <v>4.0688000000000004</v>
      </c>
      <c r="J120" s="4">
        <f>CHOOSE( CONTROL!$C$29, 3.9912, 3.9871) * CHOOSE(CONTROL!$C$12, $D$11, 100%, $F$11)</f>
        <v>3.9912000000000001</v>
      </c>
      <c r="K120" s="4"/>
      <c r="L120" s="9">
        <v>29.520499999999998</v>
      </c>
      <c r="M120" s="9">
        <v>12.063700000000001</v>
      </c>
      <c r="N120" s="9">
        <v>4.9444999999999997</v>
      </c>
      <c r="O120" s="9">
        <v>0.37459999999999999</v>
      </c>
      <c r="P120" s="9">
        <v>1.2192000000000001</v>
      </c>
      <c r="Q120" s="9">
        <v>32.440300000000001</v>
      </c>
      <c r="R120" s="9"/>
      <c r="S120" s="11"/>
    </row>
    <row r="121" spans="1:19" ht="15.75">
      <c r="A121" s="13">
        <v>45536</v>
      </c>
      <c r="B121" s="8">
        <f>CHOOSE( CONTROL!$C$29, 4.0831, 4.0788) * CHOOSE(CONTROL!$C$12, $D$11, 100%, $F$11)</f>
        <v>4.0831</v>
      </c>
      <c r="C121" s="8">
        <f>CHOOSE( CONTROL!$C$29, 4.0935, 4.0893) * CHOOSE(CONTROL!$C$12, $D$11, 100%, $F$11)</f>
        <v>4.0934999999999997</v>
      </c>
      <c r="D121" s="8">
        <f>CHOOSE( CONTROL!$C$29, 4.1161, 4.1118) * CHOOSE( CONTROL!$C$12, $D$11, 100%, $F$11)</f>
        <v>4.1161000000000003</v>
      </c>
      <c r="E121" s="12">
        <f>CHOOSE( CONTROL!$C$29, 4.1063, 4.102) * CHOOSE( CONTROL!$C$12, $D$11, 100%, $F$11)</f>
        <v>4.1063000000000001</v>
      </c>
      <c r="F121" s="4">
        <f>CHOOSE( CONTROL!$C$29, 5.1216, 5.1174) * CHOOSE(CONTROL!$C$12, $D$11, 100%, $F$11)</f>
        <v>5.1215999999999999</v>
      </c>
      <c r="G121" s="8">
        <f>CHOOSE( CONTROL!$C$29, 3.9861, 3.982) * CHOOSE( CONTROL!$C$12, $D$11, 100%, $F$11)</f>
        <v>3.9861</v>
      </c>
      <c r="H121" s="4">
        <f>CHOOSE( CONTROL!$C$29, 4.9162, 4.912) * CHOOSE(CONTROL!$C$12, $D$11, 100%, $F$11)</f>
        <v>4.9161999999999999</v>
      </c>
      <c r="I121" s="8">
        <f>CHOOSE( CONTROL!$C$29, 3.9835, 3.9794) * CHOOSE(CONTROL!$C$12, $D$11, 100%, $F$11)</f>
        <v>3.9834999999999998</v>
      </c>
      <c r="J121" s="4">
        <f>CHOOSE( CONTROL!$C$29, 3.9076, 3.9036) * CHOOSE(CONTROL!$C$12, $D$11, 100%, $F$11)</f>
        <v>3.9076</v>
      </c>
      <c r="K121" s="4"/>
      <c r="L121" s="9">
        <v>28.568200000000001</v>
      </c>
      <c r="M121" s="9">
        <v>11.6745</v>
      </c>
      <c r="N121" s="9">
        <v>4.7850000000000001</v>
      </c>
      <c r="O121" s="9">
        <v>0.36249999999999999</v>
      </c>
      <c r="P121" s="9">
        <v>1.1798</v>
      </c>
      <c r="Q121" s="9">
        <v>31.393799999999999</v>
      </c>
      <c r="R121" s="9"/>
      <c r="S121" s="11"/>
    </row>
    <row r="122" spans="1:19" ht="15.75">
      <c r="A122" s="13">
        <v>45566</v>
      </c>
      <c r="B122" s="8">
        <f>4.2598 * CHOOSE(CONTROL!$C$12, $D$11, 100%, $F$11)</f>
        <v>4.2598000000000003</v>
      </c>
      <c r="C122" s="8">
        <f>4.2702 * CHOOSE(CONTROL!$C$12, $D$11, 100%, $F$11)</f>
        <v>4.2702</v>
      </c>
      <c r="D122" s="8">
        <f>4.2747 * CHOOSE( CONTROL!$C$12, $D$11, 100%, $F$11)</f>
        <v>4.2747000000000002</v>
      </c>
      <c r="E122" s="12">
        <f>4.2721 * CHOOSE( CONTROL!$C$12, $D$11, 100%, $F$11)</f>
        <v>4.2721</v>
      </c>
      <c r="F122" s="4">
        <f>5.2671 * CHOOSE(CONTROL!$C$12, $D$11, 100%, $F$11)</f>
        <v>5.2671000000000001</v>
      </c>
      <c r="G122" s="8">
        <f>4.1487 * CHOOSE( CONTROL!$C$12, $D$11, 100%, $F$11)</f>
        <v>4.1486999999999998</v>
      </c>
      <c r="H122" s="4">
        <f>5.0579 * CHOOSE(CONTROL!$C$12, $D$11, 100%, $F$11)</f>
        <v>5.0579000000000001</v>
      </c>
      <c r="I122" s="8">
        <f>4.1496 * CHOOSE(CONTROL!$C$12, $D$11, 100%, $F$11)</f>
        <v>4.1496000000000004</v>
      </c>
      <c r="J122" s="4">
        <f>4.077 * CHOOSE(CONTROL!$C$12, $D$11, 100%, $F$11)</f>
        <v>4.077</v>
      </c>
      <c r="K122" s="4"/>
      <c r="L122" s="9">
        <v>28.921800000000001</v>
      </c>
      <c r="M122" s="9">
        <v>12.063700000000001</v>
      </c>
      <c r="N122" s="9">
        <v>4.9444999999999997</v>
      </c>
      <c r="O122" s="9">
        <v>0.37459999999999999</v>
      </c>
      <c r="P122" s="9">
        <v>1.2192000000000001</v>
      </c>
      <c r="Q122" s="9">
        <v>32.440300000000001</v>
      </c>
      <c r="R122" s="9"/>
      <c r="S122" s="11"/>
    </row>
    <row r="123" spans="1:19" ht="15.75">
      <c r="A123" s="13">
        <v>45597</v>
      </c>
      <c r="B123" s="8">
        <f>4.5938 * CHOOSE(CONTROL!$C$12, $D$11, 100%, $F$11)</f>
        <v>4.5937999999999999</v>
      </c>
      <c r="C123" s="8">
        <f>4.6043 * CHOOSE(CONTROL!$C$12, $D$11, 100%, $F$11)</f>
        <v>4.6043000000000003</v>
      </c>
      <c r="D123" s="8">
        <f>4.5867 * CHOOSE( CONTROL!$C$12, $D$11, 100%, $F$11)</f>
        <v>4.5867000000000004</v>
      </c>
      <c r="E123" s="12">
        <f>4.592 * CHOOSE( CONTROL!$C$12, $D$11, 100%, $F$11)</f>
        <v>4.5919999999999996</v>
      </c>
      <c r="F123" s="4">
        <f>5.5881 * CHOOSE(CONTROL!$C$12, $D$11, 100%, $F$11)</f>
        <v>5.5880999999999998</v>
      </c>
      <c r="G123" s="8">
        <f>4.4867 * CHOOSE( CONTROL!$C$12, $D$11, 100%, $F$11)</f>
        <v>4.4866999999999999</v>
      </c>
      <c r="H123" s="4">
        <f>5.3708 * CHOOSE(CONTROL!$C$12, $D$11, 100%, $F$11)</f>
        <v>5.3708</v>
      </c>
      <c r="I123" s="8">
        <f>4.4933 * CHOOSE(CONTROL!$C$12, $D$11, 100%, $F$11)</f>
        <v>4.4932999999999996</v>
      </c>
      <c r="J123" s="4">
        <f>4.3971 * CHOOSE(CONTROL!$C$12, $D$11, 100%, $F$11)</f>
        <v>4.3971</v>
      </c>
      <c r="K123" s="4"/>
      <c r="L123" s="9">
        <v>26.515499999999999</v>
      </c>
      <c r="M123" s="9">
        <v>11.6745</v>
      </c>
      <c r="N123" s="9">
        <v>4.7850000000000001</v>
      </c>
      <c r="O123" s="9">
        <v>0.36249999999999999</v>
      </c>
      <c r="P123" s="9">
        <v>1.2522</v>
      </c>
      <c r="Q123" s="9">
        <v>31.393799999999999</v>
      </c>
      <c r="R123" s="9"/>
      <c r="S123" s="11"/>
    </row>
    <row r="124" spans="1:19" ht="15.75">
      <c r="A124" s="13">
        <v>45627</v>
      </c>
      <c r="B124" s="8">
        <f>4.5855 * CHOOSE(CONTROL!$C$12, $D$11, 100%, $F$11)</f>
        <v>4.5854999999999997</v>
      </c>
      <c r="C124" s="8">
        <f>4.5959 * CHOOSE(CONTROL!$C$12, $D$11, 100%, $F$11)</f>
        <v>4.5959000000000003</v>
      </c>
      <c r="D124" s="8">
        <f>4.5803 * CHOOSE( CONTROL!$C$12, $D$11, 100%, $F$11)</f>
        <v>4.5803000000000003</v>
      </c>
      <c r="E124" s="12">
        <f>4.5849 * CHOOSE( CONTROL!$C$12, $D$11, 100%, $F$11)</f>
        <v>4.5849000000000002</v>
      </c>
      <c r="F124" s="4">
        <f>5.5797 * CHOOSE(CONTROL!$C$12, $D$11, 100%, $F$11)</f>
        <v>5.5796999999999999</v>
      </c>
      <c r="G124" s="8">
        <f>4.4801 * CHOOSE( CONTROL!$C$12, $D$11, 100%, $F$11)</f>
        <v>4.4801000000000002</v>
      </c>
      <c r="H124" s="4">
        <f>5.3627 * CHOOSE(CONTROL!$C$12, $D$11, 100%, $F$11)</f>
        <v>5.3627000000000002</v>
      </c>
      <c r="I124" s="8">
        <f>4.4925 * CHOOSE(CONTROL!$C$12, $D$11, 100%, $F$11)</f>
        <v>4.4924999999999997</v>
      </c>
      <c r="J124" s="4">
        <f>4.3891 * CHOOSE(CONTROL!$C$12, $D$11, 100%, $F$11)</f>
        <v>4.3891</v>
      </c>
      <c r="K124" s="4"/>
      <c r="L124" s="9">
        <v>27.3993</v>
      </c>
      <c r="M124" s="9">
        <v>12.063700000000001</v>
      </c>
      <c r="N124" s="9">
        <v>4.9444999999999997</v>
      </c>
      <c r="O124" s="9">
        <v>0.37459999999999999</v>
      </c>
      <c r="P124" s="9">
        <v>1.2939000000000001</v>
      </c>
      <c r="Q124" s="9">
        <v>32.440300000000001</v>
      </c>
      <c r="R124" s="9"/>
      <c r="S124" s="11"/>
    </row>
    <row r="125" spans="1:19" ht="15.75">
      <c r="A125" s="13">
        <v>45658</v>
      </c>
      <c r="B125" s="8">
        <f>4.9705 * CHOOSE(CONTROL!$C$12, $D$11, 100%, $F$11)</f>
        <v>4.9705000000000004</v>
      </c>
      <c r="C125" s="8">
        <f>4.9809 * CHOOSE(CONTROL!$C$12, $D$11, 100%, $F$11)</f>
        <v>4.9809000000000001</v>
      </c>
      <c r="D125" s="8">
        <f>4.9786 * CHOOSE( CONTROL!$C$12, $D$11, 100%, $F$11)</f>
        <v>4.9786000000000001</v>
      </c>
      <c r="E125" s="12">
        <f>4.9783 * CHOOSE( CONTROL!$C$12, $D$11, 100%, $F$11)</f>
        <v>4.9782999999999999</v>
      </c>
      <c r="F125" s="4">
        <f>5.9934 * CHOOSE(CONTROL!$C$12, $D$11, 100%, $F$11)</f>
        <v>5.9934000000000003</v>
      </c>
      <c r="G125" s="8">
        <f>4.8726 * CHOOSE( CONTROL!$C$12, $D$11, 100%, $F$11)</f>
        <v>4.8726000000000003</v>
      </c>
      <c r="H125" s="4">
        <f>5.7659 * CHOOSE(CONTROL!$C$12, $D$11, 100%, $F$11)</f>
        <v>5.7659000000000002</v>
      </c>
      <c r="I125" s="8">
        <f>4.8689 * CHOOSE(CONTROL!$C$12, $D$11, 100%, $F$11)</f>
        <v>4.8689</v>
      </c>
      <c r="J125" s="4">
        <f>4.758 * CHOOSE(CONTROL!$C$12, $D$11, 100%, $F$11)</f>
        <v>4.758</v>
      </c>
      <c r="K125" s="4"/>
      <c r="L125" s="9">
        <v>27.3993</v>
      </c>
      <c r="M125" s="9">
        <v>12.063700000000001</v>
      </c>
      <c r="N125" s="9">
        <v>4.9444999999999997</v>
      </c>
      <c r="O125" s="9">
        <v>0.37459999999999999</v>
      </c>
      <c r="P125" s="9">
        <v>1.2939000000000001</v>
      </c>
      <c r="Q125" s="9">
        <v>32.254300000000001</v>
      </c>
      <c r="R125" s="9"/>
      <c r="S125" s="11"/>
    </row>
    <row r="126" spans="1:19" ht="15.75">
      <c r="A126" s="13">
        <v>45689</v>
      </c>
      <c r="B126" s="8">
        <f>4.6495 * CHOOSE(CONTROL!$C$12, $D$11, 100%, $F$11)</f>
        <v>4.6494999999999997</v>
      </c>
      <c r="C126" s="8">
        <f>4.6599 * CHOOSE(CONTROL!$C$12, $D$11, 100%, $F$11)</f>
        <v>4.6599000000000004</v>
      </c>
      <c r="D126" s="8">
        <f>4.6599 * CHOOSE( CONTROL!$C$12, $D$11, 100%, $F$11)</f>
        <v>4.6599000000000004</v>
      </c>
      <c r="E126" s="12">
        <f>4.6588 * CHOOSE( CONTROL!$C$12, $D$11, 100%, $F$11)</f>
        <v>4.6588000000000003</v>
      </c>
      <c r="F126" s="4">
        <f>5.6645 * CHOOSE(CONTROL!$C$12, $D$11, 100%, $F$11)</f>
        <v>5.6645000000000003</v>
      </c>
      <c r="G126" s="8">
        <f>4.5595 * CHOOSE( CONTROL!$C$12, $D$11, 100%, $F$11)</f>
        <v>4.5594999999999999</v>
      </c>
      <c r="H126" s="4">
        <f>5.4454 * CHOOSE(CONTROL!$C$12, $D$11, 100%, $F$11)</f>
        <v>5.4454000000000002</v>
      </c>
      <c r="I126" s="8">
        <f>4.5502 * CHOOSE(CONTROL!$C$12, $D$11, 100%, $F$11)</f>
        <v>4.5502000000000002</v>
      </c>
      <c r="J126" s="4">
        <f>4.4504 * CHOOSE(CONTROL!$C$12, $D$11, 100%, $F$11)</f>
        <v>4.4504000000000001</v>
      </c>
      <c r="K126" s="4"/>
      <c r="L126" s="9">
        <v>24.747800000000002</v>
      </c>
      <c r="M126" s="9">
        <v>10.8962</v>
      </c>
      <c r="N126" s="9">
        <v>4.4660000000000002</v>
      </c>
      <c r="O126" s="9">
        <v>0.33829999999999999</v>
      </c>
      <c r="P126" s="9">
        <v>1.1687000000000001</v>
      </c>
      <c r="Q126" s="9">
        <v>29.132899999999999</v>
      </c>
      <c r="R126" s="9"/>
      <c r="S126" s="11"/>
    </row>
    <row r="127" spans="1:19" ht="15.75">
      <c r="A127" s="13">
        <v>45717</v>
      </c>
      <c r="B127" s="8">
        <f>4.5506 * CHOOSE(CONTROL!$C$12, $D$11, 100%, $F$11)</f>
        <v>4.5506000000000002</v>
      </c>
      <c r="C127" s="8">
        <f>4.561 * CHOOSE(CONTROL!$C$12, $D$11, 100%, $F$11)</f>
        <v>4.5609999999999999</v>
      </c>
      <c r="D127" s="8">
        <f>4.5409 * CHOOSE( CONTROL!$C$12, $D$11, 100%, $F$11)</f>
        <v>4.5408999999999997</v>
      </c>
      <c r="E127" s="12">
        <f>4.5471 * CHOOSE( CONTROL!$C$12, $D$11, 100%, $F$11)</f>
        <v>4.5471000000000004</v>
      </c>
      <c r="F127" s="4">
        <f>5.5495 * CHOOSE(CONTROL!$C$12, $D$11, 100%, $F$11)</f>
        <v>5.5495000000000001</v>
      </c>
      <c r="G127" s="8">
        <f>4.4426 * CHOOSE( CONTROL!$C$12, $D$11, 100%, $F$11)</f>
        <v>4.4425999999999997</v>
      </c>
      <c r="H127" s="4">
        <f>5.3332 * CHOOSE(CONTROL!$C$12, $D$11, 100%, $F$11)</f>
        <v>5.3331999999999997</v>
      </c>
      <c r="I127" s="8">
        <f>4.4159 * CHOOSE(CONTROL!$C$12, $D$11, 100%, $F$11)</f>
        <v>4.4158999999999997</v>
      </c>
      <c r="J127" s="4">
        <f>4.3556 * CHOOSE(CONTROL!$C$12, $D$11, 100%, $F$11)</f>
        <v>4.3555999999999999</v>
      </c>
      <c r="K127" s="4"/>
      <c r="L127" s="9">
        <v>27.3993</v>
      </c>
      <c r="M127" s="9">
        <v>12.063700000000001</v>
      </c>
      <c r="N127" s="9">
        <v>4.9444999999999997</v>
      </c>
      <c r="O127" s="9">
        <v>0.37459999999999999</v>
      </c>
      <c r="P127" s="9">
        <v>1.2939000000000001</v>
      </c>
      <c r="Q127" s="9">
        <v>32.254300000000001</v>
      </c>
      <c r="R127" s="9"/>
      <c r="S127" s="11"/>
    </row>
    <row r="128" spans="1:19" ht="15.75">
      <c r="A128" s="13">
        <v>45748</v>
      </c>
      <c r="B128" s="8">
        <f>4.6197 * CHOOSE(CONTROL!$C$12, $D$11, 100%, $F$11)</f>
        <v>4.6196999999999999</v>
      </c>
      <c r="C128" s="8">
        <f>4.6301 * CHOOSE(CONTROL!$C$12, $D$11, 100%, $F$11)</f>
        <v>4.6300999999999997</v>
      </c>
      <c r="D128" s="8">
        <f>4.6333 * CHOOSE( CONTROL!$C$12, $D$11, 100%, $F$11)</f>
        <v>4.6333000000000002</v>
      </c>
      <c r="E128" s="12">
        <f>4.6311 * CHOOSE( CONTROL!$C$12, $D$11, 100%, $F$11)</f>
        <v>4.6311</v>
      </c>
      <c r="F128" s="4">
        <f>5.6269 * CHOOSE(CONTROL!$C$12, $D$11, 100%, $F$11)</f>
        <v>5.6269</v>
      </c>
      <c r="G128" s="8">
        <f>4.4979 * CHOOSE( CONTROL!$C$12, $D$11, 100%, $F$11)</f>
        <v>4.4978999999999996</v>
      </c>
      <c r="H128" s="4">
        <f>5.4087 * CHOOSE(CONTROL!$C$12, $D$11, 100%, $F$11)</f>
        <v>5.4086999999999996</v>
      </c>
      <c r="I128" s="8">
        <f>4.4723 * CHOOSE(CONTROL!$C$12, $D$11, 100%, $F$11)</f>
        <v>4.4722999999999997</v>
      </c>
      <c r="J128" s="4">
        <f>4.4218 * CHOOSE(CONTROL!$C$12, $D$11, 100%, $F$11)</f>
        <v>4.4218000000000002</v>
      </c>
      <c r="K128" s="4"/>
      <c r="L128" s="9">
        <v>27.988800000000001</v>
      </c>
      <c r="M128" s="9">
        <v>11.6745</v>
      </c>
      <c r="N128" s="9">
        <v>4.7850000000000001</v>
      </c>
      <c r="O128" s="9">
        <v>0.36249999999999999</v>
      </c>
      <c r="P128" s="9">
        <v>1.1798</v>
      </c>
      <c r="Q128" s="9">
        <v>31.213799999999999</v>
      </c>
      <c r="R128" s="9"/>
      <c r="S128" s="11"/>
    </row>
    <row r="129" spans="1:19" ht="15.75">
      <c r="A129" s="13">
        <v>45778</v>
      </c>
      <c r="B129" s="8">
        <f>CHOOSE( CONTROL!$C$29, 4.7469, 4.7426) * CHOOSE(CONTROL!$C$12, $D$11, 100%, $F$11)</f>
        <v>4.7469000000000001</v>
      </c>
      <c r="C129" s="8">
        <f>CHOOSE( CONTROL!$C$29, 4.7573, 4.7531) * CHOOSE(CONTROL!$C$12, $D$11, 100%, $F$11)</f>
        <v>4.7572999999999999</v>
      </c>
      <c r="D129" s="8">
        <f>CHOOSE( CONTROL!$C$29, 4.7352, 4.731) * CHOOSE( CONTROL!$C$12, $D$11, 100%, $F$11)</f>
        <v>4.7351999999999999</v>
      </c>
      <c r="E129" s="12">
        <f>CHOOSE( CONTROL!$C$29, 4.7416, 4.7374) * CHOOSE( CONTROL!$C$12, $D$11, 100%, $F$11)</f>
        <v>4.7416</v>
      </c>
      <c r="F129" s="4">
        <f>CHOOSE( CONTROL!$C$29, 5.7218, 5.7175) * CHOOSE(CONTROL!$C$12, $D$11, 100%, $F$11)</f>
        <v>5.7218</v>
      </c>
      <c r="G129" s="8">
        <f>CHOOSE( CONTROL!$C$29, 4.6031, 4.599) * CHOOSE( CONTROL!$C$12, $D$11, 100%, $F$11)</f>
        <v>4.6031000000000004</v>
      </c>
      <c r="H129" s="4">
        <f>CHOOSE( CONTROL!$C$29, 5.5012, 5.4971) * CHOOSE(CONTROL!$C$12, $D$11, 100%, $F$11)</f>
        <v>5.5011999999999999</v>
      </c>
      <c r="I129" s="8">
        <f>CHOOSE( CONTROL!$C$29, 4.5727, 4.5686) * CHOOSE(CONTROL!$C$12, $D$11, 100%, $F$11)</f>
        <v>4.5727000000000002</v>
      </c>
      <c r="J129" s="4">
        <f>CHOOSE( CONTROL!$C$29, 4.5437, 4.5396) * CHOOSE(CONTROL!$C$12, $D$11, 100%, $F$11)</f>
        <v>4.5437000000000003</v>
      </c>
      <c r="K129" s="4"/>
      <c r="L129" s="9">
        <v>29.520499999999998</v>
      </c>
      <c r="M129" s="9">
        <v>12.063700000000001</v>
      </c>
      <c r="N129" s="9">
        <v>4.9444999999999997</v>
      </c>
      <c r="O129" s="9">
        <v>0.37459999999999999</v>
      </c>
      <c r="P129" s="9">
        <v>1.2192000000000001</v>
      </c>
      <c r="Q129" s="9">
        <v>32.254300000000001</v>
      </c>
      <c r="R129" s="9"/>
      <c r="S129" s="11"/>
    </row>
    <row r="130" spans="1:19" ht="15.75">
      <c r="A130" s="13">
        <v>45809</v>
      </c>
      <c r="B130" s="8">
        <f>CHOOSE( CONTROL!$C$29, 4.6707, 4.6665) * CHOOSE(CONTROL!$C$12, $D$11, 100%, $F$11)</f>
        <v>4.6707000000000001</v>
      </c>
      <c r="C130" s="8">
        <f>CHOOSE( CONTROL!$C$29, 4.6811, 4.6769) * CHOOSE(CONTROL!$C$12, $D$11, 100%, $F$11)</f>
        <v>4.6810999999999998</v>
      </c>
      <c r="D130" s="8">
        <f>CHOOSE( CONTROL!$C$29, 4.6535, 4.6492) * CHOOSE( CONTROL!$C$12, $D$11, 100%, $F$11)</f>
        <v>4.6535000000000002</v>
      </c>
      <c r="E130" s="12">
        <f>CHOOSE( CONTROL!$C$29, 4.6619, 4.6577) * CHOOSE( CONTROL!$C$12, $D$11, 100%, $F$11)</f>
        <v>4.6619000000000002</v>
      </c>
      <c r="F130" s="4">
        <f>CHOOSE( CONTROL!$C$29, 5.6352, 5.6309) * CHOOSE(CONTROL!$C$12, $D$11, 100%, $F$11)</f>
        <v>5.6352000000000002</v>
      </c>
      <c r="G130" s="8">
        <f>CHOOSE( CONTROL!$C$29, 4.5276, 4.5234) * CHOOSE( CONTROL!$C$12, $D$11, 100%, $F$11)</f>
        <v>4.5275999999999996</v>
      </c>
      <c r="H130" s="4">
        <f>CHOOSE( CONTROL!$C$29, 5.4168, 5.4126) * CHOOSE(CONTROL!$C$12, $D$11, 100%, $F$11)</f>
        <v>5.4168000000000003</v>
      </c>
      <c r="I130" s="8">
        <f>CHOOSE( CONTROL!$C$29, 4.5018, 4.4978) * CHOOSE(CONTROL!$C$12, $D$11, 100%, $F$11)</f>
        <v>4.5018000000000002</v>
      </c>
      <c r="J130" s="4">
        <f>CHOOSE( CONTROL!$C$29, 4.4707, 4.4667) * CHOOSE(CONTROL!$C$12, $D$11, 100%, $F$11)</f>
        <v>4.4706999999999999</v>
      </c>
      <c r="K130" s="4"/>
      <c r="L130" s="9">
        <v>28.568200000000001</v>
      </c>
      <c r="M130" s="9">
        <v>11.6745</v>
      </c>
      <c r="N130" s="9">
        <v>4.7850000000000001</v>
      </c>
      <c r="O130" s="9">
        <v>0.36249999999999999</v>
      </c>
      <c r="P130" s="9">
        <v>1.1798</v>
      </c>
      <c r="Q130" s="9">
        <v>31.213799999999999</v>
      </c>
      <c r="R130" s="9"/>
      <c r="S130" s="11"/>
    </row>
    <row r="131" spans="1:19" ht="15.75">
      <c r="A131" s="13">
        <v>45839</v>
      </c>
      <c r="B131" s="8">
        <f>CHOOSE( CONTROL!$C$29, 4.8713, 4.8671) * CHOOSE(CONTROL!$C$12, $D$11, 100%, $F$11)</f>
        <v>4.8712999999999997</v>
      </c>
      <c r="C131" s="8">
        <f>CHOOSE( CONTROL!$C$29, 4.8817, 4.8775) * CHOOSE(CONTROL!$C$12, $D$11, 100%, $F$11)</f>
        <v>4.8817000000000004</v>
      </c>
      <c r="D131" s="8">
        <f>CHOOSE( CONTROL!$C$29, 4.8879, 4.8836) * CHOOSE( CONTROL!$C$12, $D$11, 100%, $F$11)</f>
        <v>4.8879000000000001</v>
      </c>
      <c r="E131" s="12">
        <f>CHOOSE( CONTROL!$C$29, 4.8841, 4.8798) * CHOOSE( CONTROL!$C$12, $D$11, 100%, $F$11)</f>
        <v>4.8841000000000001</v>
      </c>
      <c r="F131" s="4">
        <f>CHOOSE( CONTROL!$C$29, 5.8812, 5.8769) * CHOOSE(CONTROL!$C$12, $D$11, 100%, $F$11)</f>
        <v>5.8811999999999998</v>
      </c>
      <c r="G131" s="8">
        <f>CHOOSE( CONTROL!$C$29, 4.7492, 4.745) * CHOOSE( CONTROL!$C$12, $D$11, 100%, $F$11)</f>
        <v>4.7492000000000001</v>
      </c>
      <c r="H131" s="4">
        <f>CHOOSE( CONTROL!$C$29, 5.6565, 5.6524) * CHOOSE(CONTROL!$C$12, $D$11, 100%, $F$11)</f>
        <v>5.6565000000000003</v>
      </c>
      <c r="I131" s="8">
        <f>CHOOSE( CONTROL!$C$29, 4.7494, 4.7453) * CHOOSE(CONTROL!$C$12, $D$11, 100%, $F$11)</f>
        <v>4.7493999999999996</v>
      </c>
      <c r="J131" s="4">
        <f>CHOOSE( CONTROL!$C$29, 4.6629, 4.6589) * CHOOSE(CONTROL!$C$12, $D$11, 100%, $F$11)</f>
        <v>4.6628999999999996</v>
      </c>
      <c r="K131" s="4"/>
      <c r="L131" s="9">
        <v>29.520499999999998</v>
      </c>
      <c r="M131" s="9">
        <v>12.063700000000001</v>
      </c>
      <c r="N131" s="9">
        <v>4.9444999999999997</v>
      </c>
      <c r="O131" s="9">
        <v>0.37459999999999999</v>
      </c>
      <c r="P131" s="9">
        <v>1.2192000000000001</v>
      </c>
      <c r="Q131" s="9">
        <v>32.254300000000001</v>
      </c>
      <c r="R131" s="9"/>
      <c r="S131" s="11"/>
    </row>
    <row r="132" spans="1:19" ht="15.75">
      <c r="A132" s="13">
        <v>45870</v>
      </c>
      <c r="B132" s="8">
        <f>CHOOSE( CONTROL!$C$29, 4.496, 4.4917) * CHOOSE(CONTROL!$C$12, $D$11, 100%, $F$11)</f>
        <v>4.4960000000000004</v>
      </c>
      <c r="C132" s="8">
        <f>CHOOSE( CONTROL!$C$29, 4.5064, 4.5022) * CHOOSE(CONTROL!$C$12, $D$11, 100%, $F$11)</f>
        <v>4.5064000000000002</v>
      </c>
      <c r="D132" s="8">
        <f>CHOOSE( CONTROL!$C$29, 4.529, 4.5248) * CHOOSE( CONTROL!$C$12, $D$11, 100%, $F$11)</f>
        <v>4.5289999999999999</v>
      </c>
      <c r="E132" s="12">
        <f>CHOOSE( CONTROL!$C$29, 4.5192, 4.515) * CHOOSE( CONTROL!$C$12, $D$11, 100%, $F$11)</f>
        <v>4.5191999999999997</v>
      </c>
      <c r="F132" s="4">
        <f>CHOOSE( CONTROL!$C$29, 5.5345, 5.5303) * CHOOSE(CONTROL!$C$12, $D$11, 100%, $F$11)</f>
        <v>5.5345000000000004</v>
      </c>
      <c r="G132" s="8">
        <f>CHOOSE( CONTROL!$C$29, 4.3889, 4.3848) * CHOOSE( CONTROL!$C$12, $D$11, 100%, $F$11)</f>
        <v>4.3888999999999996</v>
      </c>
      <c r="H132" s="4">
        <f>CHOOSE( CONTROL!$C$29, 5.3187, 5.3145) * CHOOSE(CONTROL!$C$12, $D$11, 100%, $F$11)</f>
        <v>5.3186999999999998</v>
      </c>
      <c r="I132" s="8">
        <f>CHOOSE( CONTROL!$C$29, 4.3811, 4.377) * CHOOSE(CONTROL!$C$12, $D$11, 100%, $F$11)</f>
        <v>4.3811</v>
      </c>
      <c r="J132" s="4">
        <f>CHOOSE( CONTROL!$C$29, 4.3033, 4.2992) * CHOOSE(CONTROL!$C$12, $D$11, 100%, $F$11)</f>
        <v>4.3033000000000001</v>
      </c>
      <c r="K132" s="4"/>
      <c r="L132" s="9">
        <v>29.520499999999998</v>
      </c>
      <c r="M132" s="9">
        <v>12.063700000000001</v>
      </c>
      <c r="N132" s="9">
        <v>4.9444999999999997</v>
      </c>
      <c r="O132" s="9">
        <v>0.37459999999999999</v>
      </c>
      <c r="P132" s="9">
        <v>1.2192000000000001</v>
      </c>
      <c r="Q132" s="9">
        <v>32.254300000000001</v>
      </c>
      <c r="R132" s="9"/>
      <c r="S132" s="11"/>
    </row>
    <row r="133" spans="1:19" ht="15.75">
      <c r="A133" s="13">
        <v>45901</v>
      </c>
      <c r="B133" s="8">
        <f>CHOOSE( CONTROL!$C$29, 4.402, 4.3978) * CHOOSE(CONTROL!$C$12, $D$11, 100%, $F$11)</f>
        <v>4.4020000000000001</v>
      </c>
      <c r="C133" s="8">
        <f>CHOOSE( CONTROL!$C$29, 4.4124, 4.4082) * CHOOSE(CONTROL!$C$12, $D$11, 100%, $F$11)</f>
        <v>4.4123999999999999</v>
      </c>
      <c r="D133" s="8">
        <f>CHOOSE( CONTROL!$C$29, 4.435, 4.4308) * CHOOSE( CONTROL!$C$12, $D$11, 100%, $F$11)</f>
        <v>4.4349999999999996</v>
      </c>
      <c r="E133" s="12">
        <f>CHOOSE( CONTROL!$C$29, 4.4252, 4.421) * CHOOSE( CONTROL!$C$12, $D$11, 100%, $F$11)</f>
        <v>4.4252000000000002</v>
      </c>
      <c r="F133" s="4">
        <f>CHOOSE( CONTROL!$C$29, 5.4406, 5.4363) * CHOOSE(CONTROL!$C$12, $D$11, 100%, $F$11)</f>
        <v>5.4405999999999999</v>
      </c>
      <c r="G133" s="8">
        <f>CHOOSE( CONTROL!$C$29, 4.297, 4.2928) * CHOOSE( CONTROL!$C$12, $D$11, 100%, $F$11)</f>
        <v>4.2969999999999997</v>
      </c>
      <c r="H133" s="4">
        <f>CHOOSE( CONTROL!$C$29, 5.2271, 5.2229) * CHOOSE(CONTROL!$C$12, $D$11, 100%, $F$11)</f>
        <v>5.2271000000000001</v>
      </c>
      <c r="I133" s="8">
        <f>CHOOSE( CONTROL!$C$29, 4.2893, 4.2852) * CHOOSE(CONTROL!$C$12, $D$11, 100%, $F$11)</f>
        <v>4.2892999999999999</v>
      </c>
      <c r="J133" s="4">
        <f>CHOOSE( CONTROL!$C$29, 4.2132, 4.2092) * CHOOSE(CONTROL!$C$12, $D$11, 100%, $F$11)</f>
        <v>4.2131999999999996</v>
      </c>
      <c r="K133" s="4"/>
      <c r="L133" s="9">
        <v>28.568200000000001</v>
      </c>
      <c r="M133" s="9">
        <v>11.6745</v>
      </c>
      <c r="N133" s="9">
        <v>4.7850000000000001</v>
      </c>
      <c r="O133" s="9">
        <v>0.36249999999999999</v>
      </c>
      <c r="P133" s="9">
        <v>1.1798</v>
      </c>
      <c r="Q133" s="9">
        <v>31.213799999999999</v>
      </c>
      <c r="R133" s="9"/>
      <c r="S133" s="11"/>
    </row>
    <row r="134" spans="1:19" ht="15.75">
      <c r="A134" s="13">
        <v>45931</v>
      </c>
      <c r="B134" s="8">
        <f>4.5929 * CHOOSE(CONTROL!$C$12, $D$11, 100%, $F$11)</f>
        <v>4.5929000000000002</v>
      </c>
      <c r="C134" s="8">
        <f>4.6033 * CHOOSE(CONTROL!$C$12, $D$11, 100%, $F$11)</f>
        <v>4.6032999999999999</v>
      </c>
      <c r="D134" s="8">
        <f>4.6078 * CHOOSE( CONTROL!$C$12, $D$11, 100%, $F$11)</f>
        <v>4.6078000000000001</v>
      </c>
      <c r="E134" s="12">
        <f>4.6052 * CHOOSE( CONTROL!$C$12, $D$11, 100%, $F$11)</f>
        <v>4.6052</v>
      </c>
      <c r="F134" s="4">
        <f>5.6002 * CHOOSE(CONTROL!$C$12, $D$11, 100%, $F$11)</f>
        <v>5.6002000000000001</v>
      </c>
      <c r="G134" s="8">
        <f>4.4733 * CHOOSE( CONTROL!$C$12, $D$11, 100%, $F$11)</f>
        <v>4.4733000000000001</v>
      </c>
      <c r="H134" s="4">
        <f>5.3826 * CHOOSE(CONTROL!$C$12, $D$11, 100%, $F$11)</f>
        <v>5.3826000000000001</v>
      </c>
      <c r="I134" s="8">
        <f>4.4689 * CHOOSE(CONTROL!$C$12, $D$11, 100%, $F$11)</f>
        <v>4.4688999999999997</v>
      </c>
      <c r="J134" s="4">
        <f>4.3962 * CHOOSE(CONTROL!$C$12, $D$11, 100%, $F$11)</f>
        <v>4.3962000000000003</v>
      </c>
      <c r="K134" s="4"/>
      <c r="L134" s="9">
        <v>28.921800000000001</v>
      </c>
      <c r="M134" s="9">
        <v>12.063700000000001</v>
      </c>
      <c r="N134" s="9">
        <v>4.9444999999999997</v>
      </c>
      <c r="O134" s="9">
        <v>0.37459999999999999</v>
      </c>
      <c r="P134" s="9">
        <v>1.2192000000000001</v>
      </c>
      <c r="Q134" s="9">
        <v>32.254300000000001</v>
      </c>
      <c r="R134" s="9"/>
      <c r="S134" s="11"/>
    </row>
    <row r="135" spans="1:19" ht="15.75">
      <c r="A135" s="13">
        <v>45962</v>
      </c>
      <c r="B135" s="8">
        <f>4.9531 * CHOOSE(CONTROL!$C$12, $D$11, 100%, $F$11)</f>
        <v>4.9531000000000001</v>
      </c>
      <c r="C135" s="8">
        <f>4.9635 * CHOOSE(CONTROL!$C$12, $D$11, 100%, $F$11)</f>
        <v>4.9634999999999998</v>
      </c>
      <c r="D135" s="8">
        <f>4.9459 * CHOOSE( CONTROL!$C$12, $D$11, 100%, $F$11)</f>
        <v>4.9459</v>
      </c>
      <c r="E135" s="12">
        <f>4.9512 * CHOOSE( CONTROL!$C$12, $D$11, 100%, $F$11)</f>
        <v>4.9512</v>
      </c>
      <c r="F135" s="4">
        <f>5.9473 * CHOOSE(CONTROL!$C$12, $D$11, 100%, $F$11)</f>
        <v>5.9473000000000003</v>
      </c>
      <c r="G135" s="8">
        <f>4.8369 * CHOOSE( CONTROL!$C$12, $D$11, 100%, $F$11)</f>
        <v>4.8369</v>
      </c>
      <c r="H135" s="4">
        <f>5.721 * CHOOSE(CONTROL!$C$12, $D$11, 100%, $F$11)</f>
        <v>5.7210000000000001</v>
      </c>
      <c r="I135" s="8">
        <f>4.8377 * CHOOSE(CONTROL!$C$12, $D$11, 100%, $F$11)</f>
        <v>4.8376999999999999</v>
      </c>
      <c r="J135" s="4">
        <f>4.7413 * CHOOSE(CONTROL!$C$12, $D$11, 100%, $F$11)</f>
        <v>4.7412999999999998</v>
      </c>
      <c r="K135" s="4"/>
      <c r="L135" s="9">
        <v>26.515499999999999</v>
      </c>
      <c r="M135" s="9">
        <v>11.6745</v>
      </c>
      <c r="N135" s="9">
        <v>4.7850000000000001</v>
      </c>
      <c r="O135" s="9">
        <v>0.36249999999999999</v>
      </c>
      <c r="P135" s="9">
        <v>1.2522</v>
      </c>
      <c r="Q135" s="9">
        <v>31.213799999999999</v>
      </c>
      <c r="R135" s="9"/>
      <c r="S135" s="11"/>
    </row>
    <row r="136" spans="1:19" ht="15.75">
      <c r="A136" s="13">
        <v>45992</v>
      </c>
      <c r="B136" s="8">
        <f>4.9441 * CHOOSE(CONTROL!$C$12, $D$11, 100%, $F$11)</f>
        <v>4.9440999999999997</v>
      </c>
      <c r="C136" s="8">
        <f>4.9545 * CHOOSE(CONTROL!$C$12, $D$11, 100%, $F$11)</f>
        <v>4.9545000000000003</v>
      </c>
      <c r="D136" s="8">
        <f>4.9389 * CHOOSE( CONTROL!$C$12, $D$11, 100%, $F$11)</f>
        <v>4.9389000000000003</v>
      </c>
      <c r="E136" s="12">
        <f>4.9435 * CHOOSE( CONTROL!$C$12, $D$11, 100%, $F$11)</f>
        <v>4.9435000000000002</v>
      </c>
      <c r="F136" s="4">
        <f>5.9383 * CHOOSE(CONTROL!$C$12, $D$11, 100%, $F$11)</f>
        <v>5.9382999999999999</v>
      </c>
      <c r="G136" s="8">
        <f>4.8297 * CHOOSE( CONTROL!$C$12, $D$11, 100%, $F$11)</f>
        <v>4.8296999999999999</v>
      </c>
      <c r="H136" s="4">
        <f>5.7122 * CHOOSE(CONTROL!$C$12, $D$11, 100%, $F$11)</f>
        <v>5.7122000000000002</v>
      </c>
      <c r="I136" s="8">
        <f>4.8363 * CHOOSE(CONTROL!$C$12, $D$11, 100%, $F$11)</f>
        <v>4.8362999999999996</v>
      </c>
      <c r="J136" s="4">
        <f>4.7327 * CHOOSE(CONTROL!$C$12, $D$11, 100%, $F$11)</f>
        <v>4.7327000000000004</v>
      </c>
      <c r="K136" s="4"/>
      <c r="L136" s="9">
        <v>27.3993</v>
      </c>
      <c r="M136" s="9">
        <v>12.063700000000001</v>
      </c>
      <c r="N136" s="9">
        <v>4.9444999999999997</v>
      </c>
      <c r="O136" s="9">
        <v>0.37459999999999999</v>
      </c>
      <c r="P136" s="9">
        <v>1.2939000000000001</v>
      </c>
      <c r="Q136" s="9">
        <v>32.254300000000001</v>
      </c>
      <c r="R136" s="9"/>
      <c r="S136" s="11"/>
    </row>
    <row r="137" spans="1:19" ht="15.75">
      <c r="A137" s="13">
        <v>46023</v>
      </c>
      <c r="B137" s="8">
        <f>5.2067 * CHOOSE(CONTROL!$C$12, $D$11, 100%, $F$11)</f>
        <v>5.2066999999999997</v>
      </c>
      <c r="C137" s="8">
        <f>5.2171 * CHOOSE(CONTROL!$C$12, $D$11, 100%, $F$11)</f>
        <v>5.2171000000000003</v>
      </c>
      <c r="D137" s="8">
        <f>5.2148 * CHOOSE( CONTROL!$C$12, $D$11, 100%, $F$11)</f>
        <v>5.2148000000000003</v>
      </c>
      <c r="E137" s="12">
        <f>5.2145 * CHOOSE( CONTROL!$C$12, $D$11, 100%, $F$11)</f>
        <v>5.2145000000000001</v>
      </c>
      <c r="F137" s="4">
        <f>6.2296 * CHOOSE(CONTROL!$C$12, $D$11, 100%, $F$11)</f>
        <v>6.2295999999999996</v>
      </c>
      <c r="G137" s="8">
        <f>5.1028 * CHOOSE( CONTROL!$C$12, $D$11, 100%, $F$11)</f>
        <v>5.1028000000000002</v>
      </c>
      <c r="H137" s="4">
        <f>5.9962 * CHOOSE(CONTROL!$C$12, $D$11, 100%, $F$11)</f>
        <v>5.9962</v>
      </c>
      <c r="I137" s="8">
        <f>5.0954 * CHOOSE(CONTROL!$C$12, $D$11, 100%, $F$11)</f>
        <v>5.0953999999999997</v>
      </c>
      <c r="J137" s="4">
        <f>4.9843 * CHOOSE(CONTROL!$C$12, $D$11, 100%, $F$11)</f>
        <v>4.9843000000000002</v>
      </c>
      <c r="K137" s="4"/>
      <c r="L137" s="9">
        <v>27.3993</v>
      </c>
      <c r="M137" s="9">
        <v>12.063700000000001</v>
      </c>
      <c r="N137" s="9">
        <v>4.9444999999999997</v>
      </c>
      <c r="O137" s="9">
        <v>0.37459999999999999</v>
      </c>
      <c r="P137" s="9">
        <v>1.2939000000000001</v>
      </c>
      <c r="Q137" s="9">
        <v>32.070099999999996</v>
      </c>
      <c r="R137" s="9"/>
      <c r="S137" s="11"/>
    </row>
    <row r="138" spans="1:19" ht="15.75">
      <c r="A138" s="13">
        <v>46054</v>
      </c>
      <c r="B138" s="8">
        <f>4.8704 * CHOOSE(CONTROL!$C$12, $D$11, 100%, $F$11)</f>
        <v>4.8704000000000001</v>
      </c>
      <c r="C138" s="8">
        <f>4.8808 * CHOOSE(CONTROL!$C$12, $D$11, 100%, $F$11)</f>
        <v>4.8807999999999998</v>
      </c>
      <c r="D138" s="8">
        <f>4.8808 * CHOOSE( CONTROL!$C$12, $D$11, 100%, $F$11)</f>
        <v>4.8807999999999998</v>
      </c>
      <c r="E138" s="12">
        <f>4.8797 * CHOOSE( CONTROL!$C$12, $D$11, 100%, $F$11)</f>
        <v>4.8796999999999997</v>
      </c>
      <c r="F138" s="4">
        <f>5.8855 * CHOOSE(CONTROL!$C$12, $D$11, 100%, $F$11)</f>
        <v>5.8855000000000004</v>
      </c>
      <c r="G138" s="8">
        <f>4.7749 * CHOOSE( CONTROL!$C$12, $D$11, 100%, $F$11)</f>
        <v>4.7748999999999997</v>
      </c>
      <c r="H138" s="4">
        <f>5.6607 * CHOOSE(CONTROL!$C$12, $D$11, 100%, $F$11)</f>
        <v>5.6607000000000003</v>
      </c>
      <c r="I138" s="8">
        <f>4.762 * CHOOSE(CONTROL!$C$12, $D$11, 100%, $F$11)</f>
        <v>4.7619999999999996</v>
      </c>
      <c r="J138" s="4">
        <f>4.6621 * CHOOSE(CONTROL!$C$12, $D$11, 100%, $F$11)</f>
        <v>4.6620999999999997</v>
      </c>
      <c r="K138" s="4"/>
      <c r="L138" s="9">
        <v>24.747800000000002</v>
      </c>
      <c r="M138" s="9">
        <v>10.8962</v>
      </c>
      <c r="N138" s="9">
        <v>4.4660000000000002</v>
      </c>
      <c r="O138" s="9">
        <v>0.33829999999999999</v>
      </c>
      <c r="P138" s="9">
        <v>1.1687000000000001</v>
      </c>
      <c r="Q138" s="9">
        <v>28.9666</v>
      </c>
      <c r="R138" s="9"/>
      <c r="S138" s="11"/>
    </row>
    <row r="139" spans="1:19" ht="15.75">
      <c r="A139" s="13">
        <v>46082</v>
      </c>
      <c r="B139" s="8">
        <f>4.7668 * CHOOSE(CONTROL!$C$12, $D$11, 100%, $F$11)</f>
        <v>4.7667999999999999</v>
      </c>
      <c r="C139" s="8">
        <f>4.7773 * CHOOSE(CONTROL!$C$12, $D$11, 100%, $F$11)</f>
        <v>4.7773000000000003</v>
      </c>
      <c r="D139" s="8">
        <f>4.7571 * CHOOSE( CONTROL!$C$12, $D$11, 100%, $F$11)</f>
        <v>4.7571000000000003</v>
      </c>
      <c r="E139" s="12">
        <f>4.7634 * CHOOSE( CONTROL!$C$12, $D$11, 100%, $F$11)</f>
        <v>4.7633999999999999</v>
      </c>
      <c r="F139" s="4">
        <f>5.7657 * CHOOSE(CONTROL!$C$12, $D$11, 100%, $F$11)</f>
        <v>5.7656999999999998</v>
      </c>
      <c r="G139" s="8">
        <f>4.6534 * CHOOSE( CONTROL!$C$12, $D$11, 100%, $F$11)</f>
        <v>4.6534000000000004</v>
      </c>
      <c r="H139" s="4">
        <f>5.544 * CHOOSE(CONTROL!$C$12, $D$11, 100%, $F$11)</f>
        <v>5.5439999999999996</v>
      </c>
      <c r="I139" s="8">
        <f>4.6232 * CHOOSE(CONTROL!$C$12, $D$11, 100%, $F$11)</f>
        <v>4.6231999999999998</v>
      </c>
      <c r="J139" s="4">
        <f>4.5628 * CHOOSE(CONTROL!$C$12, $D$11, 100%, $F$11)</f>
        <v>4.5628000000000002</v>
      </c>
      <c r="K139" s="4"/>
      <c r="L139" s="9">
        <v>27.3993</v>
      </c>
      <c r="M139" s="9">
        <v>12.063700000000001</v>
      </c>
      <c r="N139" s="9">
        <v>4.9444999999999997</v>
      </c>
      <c r="O139" s="9">
        <v>0.37459999999999999</v>
      </c>
      <c r="P139" s="9">
        <v>1.2939000000000001</v>
      </c>
      <c r="Q139" s="9">
        <v>32.070099999999996</v>
      </c>
      <c r="R139" s="9"/>
      <c r="S139" s="11"/>
    </row>
    <row r="140" spans="1:19" ht="15.75">
      <c r="A140" s="13">
        <v>46113</v>
      </c>
      <c r="B140" s="8">
        <f>4.8392 * CHOOSE(CONTROL!$C$12, $D$11, 100%, $F$11)</f>
        <v>4.8391999999999999</v>
      </c>
      <c r="C140" s="8">
        <f>4.8496 * CHOOSE(CONTROL!$C$12, $D$11, 100%, $F$11)</f>
        <v>4.8495999999999997</v>
      </c>
      <c r="D140" s="8">
        <f>4.8528 * CHOOSE( CONTROL!$C$12, $D$11, 100%, $F$11)</f>
        <v>4.8528000000000002</v>
      </c>
      <c r="E140" s="12">
        <f>4.8506 * CHOOSE( CONTROL!$C$12, $D$11, 100%, $F$11)</f>
        <v>4.8506</v>
      </c>
      <c r="F140" s="4">
        <f>5.8464 * CHOOSE(CONTROL!$C$12, $D$11, 100%, $F$11)</f>
        <v>5.8464</v>
      </c>
      <c r="G140" s="8">
        <f>4.7118 * CHOOSE( CONTROL!$C$12, $D$11, 100%, $F$11)</f>
        <v>4.7118000000000002</v>
      </c>
      <c r="H140" s="4">
        <f>5.6227 * CHOOSE(CONTROL!$C$12, $D$11, 100%, $F$11)</f>
        <v>5.6227</v>
      </c>
      <c r="I140" s="8">
        <f>4.6827 * CHOOSE(CONTROL!$C$12, $D$11, 100%, $F$11)</f>
        <v>4.6826999999999996</v>
      </c>
      <c r="J140" s="4">
        <f>4.6322 * CHOOSE(CONTROL!$C$12, $D$11, 100%, $F$11)</f>
        <v>4.6322000000000001</v>
      </c>
      <c r="K140" s="4"/>
      <c r="L140" s="9">
        <v>27.988800000000001</v>
      </c>
      <c r="M140" s="9">
        <v>11.6745</v>
      </c>
      <c r="N140" s="9">
        <v>4.7850000000000001</v>
      </c>
      <c r="O140" s="9">
        <v>0.36249999999999999</v>
      </c>
      <c r="P140" s="9">
        <v>1.1798</v>
      </c>
      <c r="Q140" s="9">
        <v>31.035599999999999</v>
      </c>
      <c r="R140" s="9"/>
      <c r="S140" s="11"/>
    </row>
    <row r="141" spans="1:19" ht="15.75">
      <c r="A141" s="13">
        <v>46143</v>
      </c>
      <c r="B141" s="8">
        <f>CHOOSE( CONTROL!$C$29, 4.9722, 4.968) * CHOOSE(CONTROL!$C$12, $D$11, 100%, $F$11)</f>
        <v>4.9722</v>
      </c>
      <c r="C141" s="8">
        <f>CHOOSE( CONTROL!$C$29, 4.9827, 4.9784) * CHOOSE(CONTROL!$C$12, $D$11, 100%, $F$11)</f>
        <v>4.9827000000000004</v>
      </c>
      <c r="D141" s="8">
        <f>CHOOSE( CONTROL!$C$29, 4.9606, 4.9564) * CHOOSE( CONTROL!$C$12, $D$11, 100%, $F$11)</f>
        <v>4.9606000000000003</v>
      </c>
      <c r="E141" s="12">
        <f>CHOOSE( CONTROL!$C$29, 4.967, 4.9628) * CHOOSE( CONTROL!$C$12, $D$11, 100%, $F$11)</f>
        <v>4.9669999999999996</v>
      </c>
      <c r="F141" s="4">
        <f>CHOOSE( CONTROL!$C$29, 5.9471, 5.9429) * CHOOSE(CONTROL!$C$12, $D$11, 100%, $F$11)</f>
        <v>5.9470999999999998</v>
      </c>
      <c r="G141" s="8">
        <f>CHOOSE( CONTROL!$C$29, 4.8228, 4.8186) * CHOOSE( CONTROL!$C$12, $D$11, 100%, $F$11)</f>
        <v>4.8228</v>
      </c>
      <c r="H141" s="4">
        <f>CHOOSE( CONTROL!$C$29, 5.7209, 5.7167) * CHOOSE(CONTROL!$C$12, $D$11, 100%, $F$11)</f>
        <v>5.7209000000000003</v>
      </c>
      <c r="I141" s="8">
        <f>CHOOSE( CONTROL!$C$29, 4.7887, 4.7847) * CHOOSE(CONTROL!$C$12, $D$11, 100%, $F$11)</f>
        <v>4.7887000000000004</v>
      </c>
      <c r="J141" s="4">
        <f>CHOOSE( CONTROL!$C$29, 4.7596, 4.7556) * CHOOSE(CONTROL!$C$12, $D$11, 100%, $F$11)</f>
        <v>4.7595999999999998</v>
      </c>
      <c r="K141" s="4"/>
      <c r="L141" s="9">
        <v>29.520499999999998</v>
      </c>
      <c r="M141" s="9">
        <v>12.063700000000001</v>
      </c>
      <c r="N141" s="9">
        <v>4.9444999999999997</v>
      </c>
      <c r="O141" s="9">
        <v>0.37459999999999999</v>
      </c>
      <c r="P141" s="9">
        <v>1.2192000000000001</v>
      </c>
      <c r="Q141" s="9">
        <v>32.070099999999996</v>
      </c>
      <c r="R141" s="9"/>
      <c r="S141" s="11"/>
    </row>
    <row r="142" spans="1:19" ht="15.75">
      <c r="A142" s="13">
        <v>46174</v>
      </c>
      <c r="B142" s="8">
        <f>CHOOSE( CONTROL!$C$29, 4.8925, 4.8882) * CHOOSE(CONTROL!$C$12, $D$11, 100%, $F$11)</f>
        <v>4.8925000000000001</v>
      </c>
      <c r="C142" s="8">
        <f>CHOOSE( CONTROL!$C$29, 4.9029, 4.8986) * CHOOSE(CONTROL!$C$12, $D$11, 100%, $F$11)</f>
        <v>4.9028999999999998</v>
      </c>
      <c r="D142" s="8">
        <f>CHOOSE( CONTROL!$C$29, 4.8752, 4.871) * CHOOSE( CONTROL!$C$12, $D$11, 100%, $F$11)</f>
        <v>4.8752000000000004</v>
      </c>
      <c r="E142" s="12">
        <f>CHOOSE( CONTROL!$C$29, 4.8837, 4.8794) * CHOOSE( CONTROL!$C$12, $D$11, 100%, $F$11)</f>
        <v>4.8837000000000002</v>
      </c>
      <c r="F142" s="4">
        <f>CHOOSE( CONTROL!$C$29, 5.8569, 5.8527) * CHOOSE(CONTROL!$C$12, $D$11, 100%, $F$11)</f>
        <v>5.8569000000000004</v>
      </c>
      <c r="G142" s="8">
        <f>CHOOSE( CONTROL!$C$29, 4.7437, 4.7396) * CHOOSE( CONTROL!$C$12, $D$11, 100%, $F$11)</f>
        <v>4.7436999999999996</v>
      </c>
      <c r="H142" s="4">
        <f>CHOOSE( CONTROL!$C$29, 5.6329, 5.6288) * CHOOSE(CONTROL!$C$12, $D$11, 100%, $F$11)</f>
        <v>5.6329000000000002</v>
      </c>
      <c r="I142" s="8">
        <f>CHOOSE( CONTROL!$C$29, 4.7144, 4.7103) * CHOOSE(CONTROL!$C$12, $D$11, 100%, $F$11)</f>
        <v>4.7144000000000004</v>
      </c>
      <c r="J142" s="4">
        <f>CHOOSE( CONTROL!$C$29, 4.6832, 4.6791) * CHOOSE(CONTROL!$C$12, $D$11, 100%, $F$11)</f>
        <v>4.6832000000000003</v>
      </c>
      <c r="K142" s="4"/>
      <c r="L142" s="9">
        <v>28.568200000000001</v>
      </c>
      <c r="M142" s="9">
        <v>11.6745</v>
      </c>
      <c r="N142" s="9">
        <v>4.7850000000000001</v>
      </c>
      <c r="O142" s="9">
        <v>0.36249999999999999</v>
      </c>
      <c r="P142" s="9">
        <v>1.1798</v>
      </c>
      <c r="Q142" s="9">
        <v>31.035599999999999</v>
      </c>
      <c r="R142" s="9"/>
      <c r="S142" s="11"/>
    </row>
    <row r="143" spans="1:19" ht="15.75">
      <c r="A143" s="13">
        <v>46204</v>
      </c>
      <c r="B143" s="8">
        <f>CHOOSE( CONTROL!$C$29, 5.1026, 5.0983) * CHOOSE(CONTROL!$C$12, $D$11, 100%, $F$11)</f>
        <v>5.1025999999999998</v>
      </c>
      <c r="C143" s="8">
        <f>CHOOSE( CONTROL!$C$29, 5.113, 5.1088) * CHOOSE(CONTROL!$C$12, $D$11, 100%, $F$11)</f>
        <v>5.1130000000000004</v>
      </c>
      <c r="D143" s="8">
        <f>CHOOSE( CONTROL!$C$29, 5.1191, 5.1149) * CHOOSE( CONTROL!$C$12, $D$11, 100%, $F$11)</f>
        <v>5.1191000000000004</v>
      </c>
      <c r="E143" s="12">
        <f>CHOOSE( CONTROL!$C$29, 5.1153, 5.1111) * CHOOSE( CONTROL!$C$12, $D$11, 100%, $F$11)</f>
        <v>5.1153000000000004</v>
      </c>
      <c r="F143" s="4">
        <f>CHOOSE( CONTROL!$C$29, 6.1124, 6.1082) * CHOOSE(CONTROL!$C$12, $D$11, 100%, $F$11)</f>
        <v>6.1124000000000001</v>
      </c>
      <c r="G143" s="8">
        <f>CHOOSE( CONTROL!$C$29, 4.9746, 4.9705) * CHOOSE( CONTROL!$C$12, $D$11, 100%, $F$11)</f>
        <v>4.9745999999999997</v>
      </c>
      <c r="H143" s="4">
        <f>CHOOSE( CONTROL!$C$29, 5.882, 5.8779) * CHOOSE(CONTROL!$C$12, $D$11, 100%, $F$11)</f>
        <v>5.8819999999999997</v>
      </c>
      <c r="I143" s="8">
        <f>CHOOSE( CONTROL!$C$29, 4.9711, 4.9671) * CHOOSE(CONTROL!$C$12, $D$11, 100%, $F$11)</f>
        <v>4.9710999999999999</v>
      </c>
      <c r="J143" s="4">
        <f>CHOOSE( CONTROL!$C$29, 4.8845, 4.8805) * CHOOSE(CONTROL!$C$12, $D$11, 100%, $F$11)</f>
        <v>4.8845000000000001</v>
      </c>
      <c r="K143" s="4"/>
      <c r="L143" s="9">
        <v>29.520499999999998</v>
      </c>
      <c r="M143" s="9">
        <v>12.063700000000001</v>
      </c>
      <c r="N143" s="9">
        <v>4.9444999999999997</v>
      </c>
      <c r="O143" s="9">
        <v>0.37459999999999999</v>
      </c>
      <c r="P143" s="9">
        <v>1.2192000000000001</v>
      </c>
      <c r="Q143" s="9">
        <v>32.070099999999996</v>
      </c>
      <c r="R143" s="9"/>
      <c r="S143" s="11"/>
    </row>
    <row r="144" spans="1:19" ht="15.75">
      <c r="A144" s="13">
        <v>46235</v>
      </c>
      <c r="B144" s="8">
        <f>CHOOSE( CONTROL!$C$29, 4.7094, 4.7052) * CHOOSE(CONTROL!$C$12, $D$11, 100%, $F$11)</f>
        <v>4.7093999999999996</v>
      </c>
      <c r="C144" s="8">
        <f>CHOOSE( CONTROL!$C$29, 4.7198, 4.7156) * CHOOSE(CONTROL!$C$12, $D$11, 100%, $F$11)</f>
        <v>4.7198000000000002</v>
      </c>
      <c r="D144" s="8">
        <f>CHOOSE( CONTROL!$C$29, 4.7424, 4.7382) * CHOOSE( CONTROL!$C$12, $D$11, 100%, $F$11)</f>
        <v>4.7423999999999999</v>
      </c>
      <c r="E144" s="12">
        <f>CHOOSE( CONTROL!$C$29, 4.7326, 4.7284) * CHOOSE( CONTROL!$C$12, $D$11, 100%, $F$11)</f>
        <v>4.7325999999999997</v>
      </c>
      <c r="F144" s="4">
        <f>CHOOSE( CONTROL!$C$29, 5.748, 5.7437) * CHOOSE(CONTROL!$C$12, $D$11, 100%, $F$11)</f>
        <v>5.7480000000000002</v>
      </c>
      <c r="G144" s="8">
        <f>CHOOSE( CONTROL!$C$29, 4.5969, 4.5928) * CHOOSE( CONTROL!$C$12, $D$11, 100%, $F$11)</f>
        <v>4.5968999999999998</v>
      </c>
      <c r="H144" s="4">
        <f>CHOOSE( CONTROL!$C$29, 5.5267, 5.5226) * CHOOSE(CONTROL!$C$12, $D$11, 100%, $F$11)</f>
        <v>5.5266999999999999</v>
      </c>
      <c r="I144" s="8">
        <f>CHOOSE( CONTROL!$C$29, 4.5857, 4.5816) * CHOOSE(CONTROL!$C$12, $D$11, 100%, $F$11)</f>
        <v>4.5857000000000001</v>
      </c>
      <c r="J144" s="4">
        <f>CHOOSE( CONTROL!$C$29, 4.5078, 4.5037) * CHOOSE(CONTROL!$C$12, $D$11, 100%, $F$11)</f>
        <v>4.5077999999999996</v>
      </c>
      <c r="K144" s="4"/>
      <c r="L144" s="9">
        <v>29.520499999999998</v>
      </c>
      <c r="M144" s="9">
        <v>12.063700000000001</v>
      </c>
      <c r="N144" s="9">
        <v>4.9444999999999997</v>
      </c>
      <c r="O144" s="9">
        <v>0.37459999999999999</v>
      </c>
      <c r="P144" s="9">
        <v>1.2192000000000001</v>
      </c>
      <c r="Q144" s="9">
        <v>32.070099999999996</v>
      </c>
      <c r="R144" s="9"/>
      <c r="S144" s="11"/>
    </row>
    <row r="145" spans="1:19" ht="15.75">
      <c r="A145" s="13">
        <v>46266</v>
      </c>
      <c r="B145" s="8">
        <f>CHOOSE( CONTROL!$C$29, 4.611, 4.6067) * CHOOSE(CONTROL!$C$12, $D$11, 100%, $F$11)</f>
        <v>4.6109999999999998</v>
      </c>
      <c r="C145" s="8">
        <f>CHOOSE( CONTROL!$C$29, 4.6214, 4.6171) * CHOOSE(CONTROL!$C$12, $D$11, 100%, $F$11)</f>
        <v>4.6214000000000004</v>
      </c>
      <c r="D145" s="8">
        <f>CHOOSE( CONTROL!$C$29, 4.644, 4.6397) * CHOOSE( CONTROL!$C$12, $D$11, 100%, $F$11)</f>
        <v>4.6440000000000001</v>
      </c>
      <c r="E145" s="12">
        <f>CHOOSE( CONTROL!$C$29, 4.6342, 4.6299) * CHOOSE( CONTROL!$C$12, $D$11, 100%, $F$11)</f>
        <v>4.6341999999999999</v>
      </c>
      <c r="F145" s="4">
        <f>CHOOSE( CONTROL!$C$29, 5.6495, 5.6453) * CHOOSE(CONTROL!$C$12, $D$11, 100%, $F$11)</f>
        <v>5.6494999999999997</v>
      </c>
      <c r="G145" s="8">
        <f>CHOOSE( CONTROL!$C$29, 4.5007, 4.4965) * CHOOSE( CONTROL!$C$12, $D$11, 100%, $F$11)</f>
        <v>4.5007000000000001</v>
      </c>
      <c r="H145" s="4">
        <f>CHOOSE( CONTROL!$C$29, 5.4307, 5.4266) * CHOOSE(CONTROL!$C$12, $D$11, 100%, $F$11)</f>
        <v>5.4306999999999999</v>
      </c>
      <c r="I145" s="8">
        <f>CHOOSE( CONTROL!$C$29, 4.4896, 4.4855) * CHOOSE(CONTROL!$C$12, $D$11, 100%, $F$11)</f>
        <v>4.4896000000000003</v>
      </c>
      <c r="J145" s="4">
        <f>CHOOSE( CONTROL!$C$29, 4.4135, 4.4094) * CHOOSE(CONTROL!$C$12, $D$11, 100%, $F$11)</f>
        <v>4.4135</v>
      </c>
      <c r="K145" s="4"/>
      <c r="L145" s="9">
        <v>28.568200000000001</v>
      </c>
      <c r="M145" s="9">
        <v>11.6745</v>
      </c>
      <c r="N145" s="9">
        <v>4.7850000000000001</v>
      </c>
      <c r="O145" s="9">
        <v>0.36249999999999999</v>
      </c>
      <c r="P145" s="9">
        <v>1.1798</v>
      </c>
      <c r="Q145" s="9">
        <v>31.035599999999999</v>
      </c>
      <c r="R145" s="9"/>
      <c r="S145" s="11"/>
    </row>
    <row r="146" spans="1:19" ht="15.75">
      <c r="A146" s="13">
        <v>46296</v>
      </c>
      <c r="B146" s="8">
        <f>4.8111 * CHOOSE(CONTROL!$C$12, $D$11, 100%, $F$11)</f>
        <v>4.8110999999999997</v>
      </c>
      <c r="C146" s="8">
        <f>4.8216 * CHOOSE(CONTROL!$C$12, $D$11, 100%, $F$11)</f>
        <v>4.8216000000000001</v>
      </c>
      <c r="D146" s="8">
        <f>4.826 * CHOOSE( CONTROL!$C$12, $D$11, 100%, $F$11)</f>
        <v>4.8259999999999996</v>
      </c>
      <c r="E146" s="12">
        <f>4.8234 * CHOOSE( CONTROL!$C$12, $D$11, 100%, $F$11)</f>
        <v>4.8234000000000004</v>
      </c>
      <c r="F146" s="4">
        <f>5.8184 * CHOOSE(CONTROL!$C$12, $D$11, 100%, $F$11)</f>
        <v>5.8183999999999996</v>
      </c>
      <c r="G146" s="8">
        <f>4.6861 * CHOOSE( CONTROL!$C$12, $D$11, 100%, $F$11)</f>
        <v>4.6860999999999997</v>
      </c>
      <c r="H146" s="4">
        <f>5.5954 * CHOOSE(CONTROL!$C$12, $D$11, 100%, $F$11)</f>
        <v>5.5953999999999997</v>
      </c>
      <c r="I146" s="8">
        <f>4.6781 * CHOOSE(CONTROL!$C$12, $D$11, 100%, $F$11)</f>
        <v>4.6780999999999997</v>
      </c>
      <c r="J146" s="4">
        <f>4.6053 * CHOOSE(CONTROL!$C$12, $D$11, 100%, $F$11)</f>
        <v>4.6052999999999997</v>
      </c>
      <c r="K146" s="4"/>
      <c r="L146" s="9">
        <v>28.921800000000001</v>
      </c>
      <c r="M146" s="9">
        <v>12.063700000000001</v>
      </c>
      <c r="N146" s="9">
        <v>4.9444999999999997</v>
      </c>
      <c r="O146" s="9">
        <v>0.37459999999999999</v>
      </c>
      <c r="P146" s="9">
        <v>1.2192000000000001</v>
      </c>
      <c r="Q146" s="9">
        <v>32.070099999999996</v>
      </c>
      <c r="R146" s="9"/>
      <c r="S146" s="11"/>
    </row>
    <row r="147" spans="1:19" ht="15.75">
      <c r="A147" s="13">
        <v>46327</v>
      </c>
      <c r="B147" s="8">
        <f>5.1885 * CHOOSE(CONTROL!$C$12, $D$11, 100%, $F$11)</f>
        <v>5.1885000000000003</v>
      </c>
      <c r="C147" s="8">
        <f>5.1989 * CHOOSE(CONTROL!$C$12, $D$11, 100%, $F$11)</f>
        <v>5.1989000000000001</v>
      </c>
      <c r="D147" s="8">
        <f>5.1813 * CHOOSE( CONTROL!$C$12, $D$11, 100%, $F$11)</f>
        <v>5.1813000000000002</v>
      </c>
      <c r="E147" s="12">
        <f>5.1866 * CHOOSE( CONTROL!$C$12, $D$11, 100%, $F$11)</f>
        <v>5.1866000000000003</v>
      </c>
      <c r="F147" s="4">
        <f>6.1827 * CHOOSE(CONTROL!$C$12, $D$11, 100%, $F$11)</f>
        <v>6.1826999999999996</v>
      </c>
      <c r="G147" s="8">
        <f>5.0663 * CHOOSE( CONTROL!$C$12, $D$11, 100%, $F$11)</f>
        <v>5.0663</v>
      </c>
      <c r="H147" s="4">
        <f>5.9504 * CHOOSE(CONTROL!$C$12, $D$11, 100%, $F$11)</f>
        <v>5.9504000000000001</v>
      </c>
      <c r="I147" s="8">
        <f>5.0633 * CHOOSE(CONTROL!$C$12, $D$11, 100%, $F$11)</f>
        <v>5.0632999999999999</v>
      </c>
      <c r="J147" s="4">
        <f>4.9668 * CHOOSE(CONTROL!$C$12, $D$11, 100%, $F$11)</f>
        <v>4.9668000000000001</v>
      </c>
      <c r="K147" s="4"/>
      <c r="L147" s="9">
        <v>26.515499999999999</v>
      </c>
      <c r="M147" s="9">
        <v>11.6745</v>
      </c>
      <c r="N147" s="9">
        <v>4.7850000000000001</v>
      </c>
      <c r="O147" s="9">
        <v>0.36249999999999999</v>
      </c>
      <c r="P147" s="9">
        <v>1.2522</v>
      </c>
      <c r="Q147" s="9">
        <v>31.035599999999999</v>
      </c>
      <c r="R147" s="9"/>
      <c r="S147" s="11"/>
    </row>
    <row r="148" spans="1:19" ht="15.75">
      <c r="A148" s="13">
        <v>46357</v>
      </c>
      <c r="B148" s="8">
        <f>5.179 * CHOOSE(CONTROL!$C$12, $D$11, 100%, $F$11)</f>
        <v>5.1790000000000003</v>
      </c>
      <c r="C148" s="8">
        <f>5.1895 * CHOOSE(CONTROL!$C$12, $D$11, 100%, $F$11)</f>
        <v>5.1894999999999998</v>
      </c>
      <c r="D148" s="8">
        <f>5.1739 * CHOOSE( CONTROL!$C$12, $D$11, 100%, $F$11)</f>
        <v>5.1738999999999997</v>
      </c>
      <c r="E148" s="12">
        <f>5.1785 * CHOOSE( CONTROL!$C$12, $D$11, 100%, $F$11)</f>
        <v>5.1784999999999997</v>
      </c>
      <c r="F148" s="4">
        <f>6.1732 * CHOOSE(CONTROL!$C$12, $D$11, 100%, $F$11)</f>
        <v>6.1731999999999996</v>
      </c>
      <c r="G148" s="8">
        <f>5.0587 * CHOOSE( CONTROL!$C$12, $D$11, 100%, $F$11)</f>
        <v>5.0587</v>
      </c>
      <c r="H148" s="4">
        <f>5.9413 * CHOOSE(CONTROL!$C$12, $D$11, 100%, $F$11)</f>
        <v>5.9413</v>
      </c>
      <c r="I148" s="8">
        <f>5.0615 * CHOOSE(CONTROL!$C$12, $D$11, 100%, $F$11)</f>
        <v>5.0614999999999997</v>
      </c>
      <c r="J148" s="4">
        <f>4.9578 * CHOOSE(CONTROL!$C$12, $D$11, 100%, $F$11)</f>
        <v>4.9577999999999998</v>
      </c>
      <c r="K148" s="4"/>
      <c r="L148" s="9">
        <v>27.3993</v>
      </c>
      <c r="M148" s="9">
        <v>12.063700000000001</v>
      </c>
      <c r="N148" s="9">
        <v>4.9444999999999997</v>
      </c>
      <c r="O148" s="9">
        <v>0.37459999999999999</v>
      </c>
      <c r="P148" s="9">
        <v>1.2939000000000001</v>
      </c>
      <c r="Q148" s="9">
        <v>32.070099999999996</v>
      </c>
      <c r="R148" s="9"/>
      <c r="S148" s="11"/>
    </row>
    <row r="149" spans="1:19" ht="15.75">
      <c r="A149" s="13">
        <v>46388</v>
      </c>
      <c r="B149" s="8">
        <f>5.4503 * CHOOSE(CONTROL!$C$12, $D$11, 100%, $F$11)</f>
        <v>5.4503000000000004</v>
      </c>
      <c r="C149" s="8">
        <f>5.4608 * CHOOSE(CONTROL!$C$12, $D$11, 100%, $F$11)</f>
        <v>5.4607999999999999</v>
      </c>
      <c r="D149" s="8">
        <f>5.4584 * CHOOSE( CONTROL!$C$12, $D$11, 100%, $F$11)</f>
        <v>5.4584000000000001</v>
      </c>
      <c r="E149" s="12">
        <f>5.4582 * CHOOSE( CONTROL!$C$12, $D$11, 100%, $F$11)</f>
        <v>5.4581999999999997</v>
      </c>
      <c r="F149" s="4">
        <f>6.4732 * CHOOSE(CONTROL!$C$12, $D$11, 100%, $F$11)</f>
        <v>6.4732000000000003</v>
      </c>
      <c r="G149" s="8">
        <f>5.3403 * CHOOSE( CONTROL!$C$12, $D$11, 100%, $F$11)</f>
        <v>5.3403</v>
      </c>
      <c r="H149" s="4">
        <f>6.2337 * CHOOSE(CONTROL!$C$12, $D$11, 100%, $F$11)</f>
        <v>6.2336999999999998</v>
      </c>
      <c r="I149" s="8">
        <f>5.3289 * CHOOSE(CONTROL!$C$12, $D$11, 100%, $F$11)</f>
        <v>5.3289</v>
      </c>
      <c r="J149" s="4">
        <f>5.2178 * CHOOSE(CONTROL!$C$12, $D$11, 100%, $F$11)</f>
        <v>5.2178000000000004</v>
      </c>
      <c r="K149" s="4"/>
      <c r="L149" s="9">
        <v>27.3993</v>
      </c>
      <c r="M149" s="9">
        <v>12.063700000000001</v>
      </c>
      <c r="N149" s="9">
        <v>4.9444999999999997</v>
      </c>
      <c r="O149" s="9">
        <v>0.37459999999999999</v>
      </c>
      <c r="P149" s="9">
        <v>1.2939000000000001</v>
      </c>
      <c r="Q149" s="9">
        <v>31.885999999999999</v>
      </c>
      <c r="R149" s="9"/>
      <c r="S149" s="11"/>
    </row>
    <row r="150" spans="1:19" ht="15.75">
      <c r="A150" s="13">
        <v>46419</v>
      </c>
      <c r="B150" s="8">
        <f>5.0983 * CHOOSE(CONTROL!$C$12, $D$11, 100%, $F$11)</f>
        <v>5.0983000000000001</v>
      </c>
      <c r="C150" s="8">
        <f>5.1087 * CHOOSE(CONTROL!$C$12, $D$11, 100%, $F$11)</f>
        <v>5.1086999999999998</v>
      </c>
      <c r="D150" s="8">
        <f>5.1087 * CHOOSE( CONTROL!$C$12, $D$11, 100%, $F$11)</f>
        <v>5.1086999999999998</v>
      </c>
      <c r="E150" s="12">
        <f>5.1076 * CHOOSE( CONTROL!$C$12, $D$11, 100%, $F$11)</f>
        <v>5.1075999999999997</v>
      </c>
      <c r="F150" s="4">
        <f>6.1134 * CHOOSE(CONTROL!$C$12, $D$11, 100%, $F$11)</f>
        <v>6.1134000000000004</v>
      </c>
      <c r="G150" s="8">
        <f>4.997 * CHOOSE( CONTROL!$C$12, $D$11, 100%, $F$11)</f>
        <v>4.9969999999999999</v>
      </c>
      <c r="H150" s="4">
        <f>5.8829 * CHOOSE(CONTROL!$C$12, $D$11, 100%, $F$11)</f>
        <v>5.8829000000000002</v>
      </c>
      <c r="I150" s="8">
        <f>4.9805 * CHOOSE(CONTROL!$C$12, $D$11, 100%, $F$11)</f>
        <v>4.9805000000000001</v>
      </c>
      <c r="J150" s="4">
        <f>4.8804 * CHOOSE(CONTROL!$C$12, $D$11, 100%, $F$11)</f>
        <v>4.8803999999999998</v>
      </c>
      <c r="K150" s="4"/>
      <c r="L150" s="9">
        <v>24.747800000000002</v>
      </c>
      <c r="M150" s="9">
        <v>10.8962</v>
      </c>
      <c r="N150" s="9">
        <v>4.4660000000000002</v>
      </c>
      <c r="O150" s="9">
        <v>0.33829999999999999</v>
      </c>
      <c r="P150" s="9">
        <v>1.1687000000000001</v>
      </c>
      <c r="Q150" s="9">
        <v>28.8002</v>
      </c>
      <c r="R150" s="9"/>
      <c r="S150" s="11"/>
    </row>
    <row r="151" spans="1:19" ht="15.75">
      <c r="A151" s="13">
        <v>46447</v>
      </c>
      <c r="B151" s="8">
        <f>4.9899 * CHOOSE(CONTROL!$C$12, $D$11, 100%, $F$11)</f>
        <v>4.9898999999999996</v>
      </c>
      <c r="C151" s="8">
        <f>5.0003 * CHOOSE(CONTROL!$C$12, $D$11, 100%, $F$11)</f>
        <v>5.0003000000000002</v>
      </c>
      <c r="D151" s="8">
        <f>4.9801 * CHOOSE( CONTROL!$C$12, $D$11, 100%, $F$11)</f>
        <v>4.9801000000000002</v>
      </c>
      <c r="E151" s="12">
        <f>4.9864 * CHOOSE( CONTROL!$C$12, $D$11, 100%, $F$11)</f>
        <v>4.9863999999999997</v>
      </c>
      <c r="F151" s="4">
        <f>5.9888 * CHOOSE(CONTROL!$C$12, $D$11, 100%, $F$11)</f>
        <v>5.9888000000000003</v>
      </c>
      <c r="G151" s="8">
        <f>4.8708 * CHOOSE( CONTROL!$C$12, $D$11, 100%, $F$11)</f>
        <v>4.8708</v>
      </c>
      <c r="H151" s="4">
        <f>5.7614 * CHOOSE(CONTROL!$C$12, $D$11, 100%, $F$11)</f>
        <v>5.7614000000000001</v>
      </c>
      <c r="I151" s="8">
        <f>4.8371 * CHOOSE(CONTROL!$C$12, $D$11, 100%, $F$11)</f>
        <v>4.8371000000000004</v>
      </c>
      <c r="J151" s="4">
        <f>4.7765 * CHOOSE(CONTROL!$C$12, $D$11, 100%, $F$11)</f>
        <v>4.7765000000000004</v>
      </c>
      <c r="K151" s="4"/>
      <c r="L151" s="9">
        <v>27.3993</v>
      </c>
      <c r="M151" s="9">
        <v>12.063700000000001</v>
      </c>
      <c r="N151" s="9">
        <v>4.9444999999999997</v>
      </c>
      <c r="O151" s="9">
        <v>0.37459999999999999</v>
      </c>
      <c r="P151" s="9">
        <v>1.2939000000000001</v>
      </c>
      <c r="Q151" s="9">
        <v>31.885999999999999</v>
      </c>
      <c r="R151" s="9"/>
      <c r="S151" s="11"/>
    </row>
    <row r="152" spans="1:19" ht="15.75">
      <c r="A152" s="13">
        <v>46478</v>
      </c>
      <c r="B152" s="8">
        <f>5.0656 * CHOOSE(CONTROL!$C$12, $D$11, 100%, $F$11)</f>
        <v>5.0655999999999999</v>
      </c>
      <c r="C152" s="8">
        <f>5.0761 * CHOOSE(CONTROL!$C$12, $D$11, 100%, $F$11)</f>
        <v>5.0761000000000003</v>
      </c>
      <c r="D152" s="8">
        <f>5.0793 * CHOOSE( CONTROL!$C$12, $D$11, 100%, $F$11)</f>
        <v>5.0792999999999999</v>
      </c>
      <c r="E152" s="12">
        <f>5.077 * CHOOSE( CONTROL!$C$12, $D$11, 100%, $F$11)</f>
        <v>5.077</v>
      </c>
      <c r="F152" s="4">
        <f>6.0729 * CHOOSE(CONTROL!$C$12, $D$11, 100%, $F$11)</f>
        <v>6.0728999999999997</v>
      </c>
      <c r="G152" s="8">
        <f>4.9326 * CHOOSE( CONTROL!$C$12, $D$11, 100%, $F$11)</f>
        <v>4.9325999999999999</v>
      </c>
      <c r="H152" s="4">
        <f>5.8434 * CHOOSE(CONTROL!$C$12, $D$11, 100%, $F$11)</f>
        <v>5.8433999999999999</v>
      </c>
      <c r="I152" s="8">
        <f>4.8998 * CHOOSE(CONTROL!$C$12, $D$11, 100%, $F$11)</f>
        <v>4.8997999999999999</v>
      </c>
      <c r="J152" s="4">
        <f>4.8491 * CHOOSE(CONTROL!$C$12, $D$11, 100%, $F$11)</f>
        <v>4.8491</v>
      </c>
      <c r="K152" s="4"/>
      <c r="L152" s="9">
        <v>27.988800000000001</v>
      </c>
      <c r="M152" s="9">
        <v>11.6745</v>
      </c>
      <c r="N152" s="9">
        <v>4.7850000000000001</v>
      </c>
      <c r="O152" s="9">
        <v>0.36249999999999999</v>
      </c>
      <c r="P152" s="9">
        <v>1.1798</v>
      </c>
      <c r="Q152" s="9">
        <v>30.857399999999998</v>
      </c>
      <c r="R152" s="9"/>
      <c r="S152" s="11"/>
    </row>
    <row r="153" spans="1:19" ht="15.75">
      <c r="A153" s="13">
        <v>46508</v>
      </c>
      <c r="B153" s="8">
        <f>CHOOSE( CONTROL!$C$29, 5.2047, 5.2005) * CHOOSE(CONTROL!$C$12, $D$11, 100%, $F$11)</f>
        <v>5.2046999999999999</v>
      </c>
      <c r="C153" s="8">
        <f>CHOOSE( CONTROL!$C$29, 5.2152, 5.2109) * CHOOSE(CONTROL!$C$12, $D$11, 100%, $F$11)</f>
        <v>5.2152000000000003</v>
      </c>
      <c r="D153" s="8">
        <f>CHOOSE( CONTROL!$C$29, 5.1931, 5.1888) * CHOOSE( CONTROL!$C$12, $D$11, 100%, $F$11)</f>
        <v>5.1931000000000003</v>
      </c>
      <c r="E153" s="12">
        <f>CHOOSE( CONTROL!$C$29, 5.1995, 5.1952) * CHOOSE( CONTROL!$C$12, $D$11, 100%, $F$11)</f>
        <v>5.1994999999999996</v>
      </c>
      <c r="F153" s="4">
        <f>CHOOSE( CONTROL!$C$29, 6.1796, 6.1754) * CHOOSE(CONTROL!$C$12, $D$11, 100%, $F$11)</f>
        <v>6.1795999999999998</v>
      </c>
      <c r="G153" s="8">
        <f>CHOOSE( CONTROL!$C$29, 5.0494, 5.0452) * CHOOSE( CONTROL!$C$12, $D$11, 100%, $F$11)</f>
        <v>5.0494000000000003</v>
      </c>
      <c r="H153" s="4">
        <f>CHOOSE( CONTROL!$C$29, 5.9475, 5.9433) * CHOOSE(CONTROL!$C$12, $D$11, 100%, $F$11)</f>
        <v>5.9474999999999998</v>
      </c>
      <c r="I153" s="8">
        <f>CHOOSE( CONTROL!$C$29, 5.0116, 5.0075) * CHOOSE(CONTROL!$C$12, $D$11, 100%, $F$11)</f>
        <v>5.0115999999999996</v>
      </c>
      <c r="J153" s="4">
        <f>CHOOSE( CONTROL!$C$29, 4.9824, 4.9783) * CHOOSE(CONTROL!$C$12, $D$11, 100%, $F$11)</f>
        <v>4.9824000000000002</v>
      </c>
      <c r="K153" s="4"/>
      <c r="L153" s="9">
        <v>29.520499999999998</v>
      </c>
      <c r="M153" s="9">
        <v>12.063700000000001</v>
      </c>
      <c r="N153" s="9">
        <v>4.9444999999999997</v>
      </c>
      <c r="O153" s="9">
        <v>0.37459999999999999</v>
      </c>
      <c r="P153" s="9">
        <v>1.2192000000000001</v>
      </c>
      <c r="Q153" s="9">
        <v>31.885999999999999</v>
      </c>
      <c r="R153" s="9"/>
      <c r="S153" s="11"/>
    </row>
    <row r="154" spans="1:19" ht="15.75">
      <c r="A154" s="13">
        <v>46539</v>
      </c>
      <c r="B154" s="8">
        <f>CHOOSE( CONTROL!$C$29, 5.1212, 5.1169) * CHOOSE(CONTROL!$C$12, $D$11, 100%, $F$11)</f>
        <v>5.1212</v>
      </c>
      <c r="C154" s="8">
        <f>CHOOSE( CONTROL!$C$29, 5.1316, 5.1274) * CHOOSE(CONTROL!$C$12, $D$11, 100%, $F$11)</f>
        <v>5.1315999999999997</v>
      </c>
      <c r="D154" s="8">
        <f>CHOOSE( CONTROL!$C$29, 5.104, 5.0997) * CHOOSE( CONTROL!$C$12, $D$11, 100%, $F$11)</f>
        <v>5.1040000000000001</v>
      </c>
      <c r="E154" s="12">
        <f>CHOOSE( CONTROL!$C$29, 5.1124, 5.1081) * CHOOSE( CONTROL!$C$12, $D$11, 100%, $F$11)</f>
        <v>5.1124000000000001</v>
      </c>
      <c r="F154" s="4">
        <f>CHOOSE( CONTROL!$C$29, 6.0857, 6.0814) * CHOOSE(CONTROL!$C$12, $D$11, 100%, $F$11)</f>
        <v>6.0857000000000001</v>
      </c>
      <c r="G154" s="8">
        <f>CHOOSE( CONTROL!$C$29, 4.9667, 4.9626) * CHOOSE( CONTROL!$C$12, $D$11, 100%, $F$11)</f>
        <v>4.9667000000000003</v>
      </c>
      <c r="H154" s="4">
        <f>CHOOSE( CONTROL!$C$29, 5.8559, 5.8517) * CHOOSE(CONTROL!$C$12, $D$11, 100%, $F$11)</f>
        <v>5.8559000000000001</v>
      </c>
      <c r="I154" s="8">
        <f>CHOOSE( CONTROL!$C$29, 4.9337, 4.9296) * CHOOSE(CONTROL!$C$12, $D$11, 100%, $F$11)</f>
        <v>4.9337</v>
      </c>
      <c r="J154" s="4">
        <f>CHOOSE( CONTROL!$C$29, 4.9024, 4.8983) * CHOOSE(CONTROL!$C$12, $D$11, 100%, $F$11)</f>
        <v>4.9024000000000001</v>
      </c>
      <c r="K154" s="4"/>
      <c r="L154" s="9">
        <v>28.568200000000001</v>
      </c>
      <c r="M154" s="9">
        <v>11.6745</v>
      </c>
      <c r="N154" s="9">
        <v>4.7850000000000001</v>
      </c>
      <c r="O154" s="9">
        <v>0.36249999999999999</v>
      </c>
      <c r="P154" s="9">
        <v>1.1798</v>
      </c>
      <c r="Q154" s="9">
        <v>30.857399999999998</v>
      </c>
      <c r="R154" s="9"/>
      <c r="S154" s="11"/>
    </row>
    <row r="155" spans="1:19" ht="15.75">
      <c r="A155" s="13">
        <v>46569</v>
      </c>
      <c r="B155" s="8">
        <f>CHOOSE( CONTROL!$C$29, 5.3412, 5.3369) * CHOOSE(CONTROL!$C$12, $D$11, 100%, $F$11)</f>
        <v>5.3411999999999997</v>
      </c>
      <c r="C155" s="8">
        <f>CHOOSE( CONTROL!$C$29, 5.3516, 5.3474) * CHOOSE(CONTROL!$C$12, $D$11, 100%, $F$11)</f>
        <v>5.3516000000000004</v>
      </c>
      <c r="D155" s="8">
        <f>CHOOSE( CONTROL!$C$29, 5.3577, 5.3535) * CHOOSE( CONTROL!$C$12, $D$11, 100%, $F$11)</f>
        <v>5.3577000000000004</v>
      </c>
      <c r="E155" s="12">
        <f>CHOOSE( CONTROL!$C$29, 5.3539, 5.3497) * CHOOSE( CONTROL!$C$12, $D$11, 100%, $F$11)</f>
        <v>5.3539000000000003</v>
      </c>
      <c r="F155" s="4">
        <f>CHOOSE( CONTROL!$C$29, 6.351, 6.3468) * CHOOSE(CONTROL!$C$12, $D$11, 100%, $F$11)</f>
        <v>6.351</v>
      </c>
      <c r="G155" s="8">
        <f>CHOOSE( CONTROL!$C$29, 5.2072, 5.203) * CHOOSE( CONTROL!$C$12, $D$11, 100%, $F$11)</f>
        <v>5.2072000000000003</v>
      </c>
      <c r="H155" s="4">
        <f>CHOOSE( CONTROL!$C$29, 6.1146, 6.1104) * CHOOSE(CONTROL!$C$12, $D$11, 100%, $F$11)</f>
        <v>6.1146000000000003</v>
      </c>
      <c r="I155" s="8">
        <f>CHOOSE( CONTROL!$C$29, 5.1999, 5.1958) * CHOOSE(CONTROL!$C$12, $D$11, 100%, $F$11)</f>
        <v>5.1999000000000004</v>
      </c>
      <c r="J155" s="4">
        <f>CHOOSE( CONTROL!$C$29, 5.1131, 5.1091) * CHOOSE(CONTROL!$C$12, $D$11, 100%, $F$11)</f>
        <v>5.1131000000000002</v>
      </c>
      <c r="K155" s="4"/>
      <c r="L155" s="9">
        <v>29.520499999999998</v>
      </c>
      <c r="M155" s="9">
        <v>12.063700000000001</v>
      </c>
      <c r="N155" s="9">
        <v>4.9444999999999997</v>
      </c>
      <c r="O155" s="9">
        <v>0.37459999999999999</v>
      </c>
      <c r="P155" s="9">
        <v>1.2192000000000001</v>
      </c>
      <c r="Q155" s="9">
        <v>31.885999999999999</v>
      </c>
      <c r="R155" s="9"/>
      <c r="S155" s="11"/>
    </row>
    <row r="156" spans="1:19" ht="15.75">
      <c r="A156" s="13">
        <v>46600</v>
      </c>
      <c r="B156" s="8">
        <f>CHOOSE( CONTROL!$C$29, 4.9296, 4.9253) * CHOOSE(CONTROL!$C$12, $D$11, 100%, $F$11)</f>
        <v>4.9295999999999998</v>
      </c>
      <c r="C156" s="8">
        <f>CHOOSE( CONTROL!$C$29, 4.94, 4.9358) * CHOOSE(CONTROL!$C$12, $D$11, 100%, $F$11)</f>
        <v>4.9400000000000004</v>
      </c>
      <c r="D156" s="8">
        <f>CHOOSE( CONTROL!$C$29, 4.9626, 4.9584) * CHOOSE( CONTROL!$C$12, $D$11, 100%, $F$11)</f>
        <v>4.9626000000000001</v>
      </c>
      <c r="E156" s="12">
        <f>CHOOSE( CONTROL!$C$29, 4.9528, 4.9486) * CHOOSE( CONTROL!$C$12, $D$11, 100%, $F$11)</f>
        <v>4.9527999999999999</v>
      </c>
      <c r="F156" s="4">
        <f>CHOOSE( CONTROL!$C$29, 5.9681, 5.9639) * CHOOSE(CONTROL!$C$12, $D$11, 100%, $F$11)</f>
        <v>5.9680999999999997</v>
      </c>
      <c r="G156" s="8">
        <f>CHOOSE( CONTROL!$C$29, 4.8116, 4.8074) * CHOOSE( CONTROL!$C$12, $D$11, 100%, $F$11)</f>
        <v>4.8116000000000003</v>
      </c>
      <c r="H156" s="4">
        <f>CHOOSE( CONTROL!$C$29, 5.7413, 5.7372) * CHOOSE(CONTROL!$C$12, $D$11, 100%, $F$11)</f>
        <v>5.7412999999999998</v>
      </c>
      <c r="I156" s="8">
        <f>CHOOSE( CONTROL!$C$29, 4.7967, 4.7927) * CHOOSE(CONTROL!$C$12, $D$11, 100%, $F$11)</f>
        <v>4.7967000000000004</v>
      </c>
      <c r="J156" s="4">
        <f>CHOOSE( CONTROL!$C$29, 4.7188, 4.7147) * CHOOSE(CONTROL!$C$12, $D$11, 100%, $F$11)</f>
        <v>4.7187999999999999</v>
      </c>
      <c r="K156" s="4"/>
      <c r="L156" s="9">
        <v>29.520499999999998</v>
      </c>
      <c r="M156" s="9">
        <v>12.063700000000001</v>
      </c>
      <c r="N156" s="9">
        <v>4.9444999999999997</v>
      </c>
      <c r="O156" s="9">
        <v>0.37459999999999999</v>
      </c>
      <c r="P156" s="9">
        <v>1.2192000000000001</v>
      </c>
      <c r="Q156" s="9">
        <v>31.885999999999999</v>
      </c>
      <c r="R156" s="9"/>
      <c r="S156" s="11"/>
    </row>
    <row r="157" spans="1:19" ht="15.75">
      <c r="A157" s="13">
        <v>46631</v>
      </c>
      <c r="B157" s="8">
        <f>CHOOSE( CONTROL!$C$29, 4.8265, 4.8223) * CHOOSE(CONTROL!$C$12, $D$11, 100%, $F$11)</f>
        <v>4.8265000000000002</v>
      </c>
      <c r="C157" s="8">
        <f>CHOOSE( CONTROL!$C$29, 4.8369, 4.8327) * CHOOSE(CONTROL!$C$12, $D$11, 100%, $F$11)</f>
        <v>4.8369</v>
      </c>
      <c r="D157" s="8">
        <f>CHOOSE( CONTROL!$C$29, 4.8595, 4.8553) * CHOOSE( CONTROL!$C$12, $D$11, 100%, $F$11)</f>
        <v>4.8594999999999997</v>
      </c>
      <c r="E157" s="12">
        <f>CHOOSE( CONTROL!$C$29, 4.8497, 4.8455) * CHOOSE( CONTROL!$C$12, $D$11, 100%, $F$11)</f>
        <v>4.8497000000000003</v>
      </c>
      <c r="F157" s="4">
        <f>CHOOSE( CONTROL!$C$29, 5.8651, 5.8608) * CHOOSE(CONTROL!$C$12, $D$11, 100%, $F$11)</f>
        <v>5.8651</v>
      </c>
      <c r="G157" s="8">
        <f>CHOOSE( CONTROL!$C$29, 4.7108, 4.7066) * CHOOSE( CONTROL!$C$12, $D$11, 100%, $F$11)</f>
        <v>4.7107999999999999</v>
      </c>
      <c r="H157" s="4">
        <f>CHOOSE( CONTROL!$C$29, 5.6409, 5.6367) * CHOOSE(CONTROL!$C$12, $D$11, 100%, $F$11)</f>
        <v>5.6409000000000002</v>
      </c>
      <c r="I157" s="8">
        <f>CHOOSE( CONTROL!$C$29, 4.6962, 4.6922) * CHOOSE(CONTROL!$C$12, $D$11, 100%, $F$11)</f>
        <v>4.6962000000000002</v>
      </c>
      <c r="J157" s="4">
        <f>CHOOSE( CONTROL!$C$29, 4.62, 4.6159) * CHOOSE(CONTROL!$C$12, $D$11, 100%, $F$11)</f>
        <v>4.62</v>
      </c>
      <c r="K157" s="4"/>
      <c r="L157" s="9">
        <v>28.568200000000001</v>
      </c>
      <c r="M157" s="9">
        <v>11.6745</v>
      </c>
      <c r="N157" s="9">
        <v>4.7850000000000001</v>
      </c>
      <c r="O157" s="9">
        <v>0.36249999999999999</v>
      </c>
      <c r="P157" s="9">
        <v>1.1798</v>
      </c>
      <c r="Q157" s="9">
        <v>30.857399999999998</v>
      </c>
      <c r="R157" s="9"/>
      <c r="S157" s="11"/>
    </row>
    <row r="158" spans="1:19" ht="15.75">
      <c r="A158" s="13">
        <v>46661</v>
      </c>
      <c r="B158" s="8">
        <f>5.0363 * CHOOSE(CONTROL!$C$12, $D$11, 100%, $F$11)</f>
        <v>5.0362999999999998</v>
      </c>
      <c r="C158" s="8">
        <f>5.0467 * CHOOSE(CONTROL!$C$12, $D$11, 100%, $F$11)</f>
        <v>5.0467000000000004</v>
      </c>
      <c r="D158" s="8">
        <f>5.0511 * CHOOSE( CONTROL!$C$12, $D$11, 100%, $F$11)</f>
        <v>5.0510999999999999</v>
      </c>
      <c r="E158" s="12">
        <f>5.0485 * CHOOSE( CONTROL!$C$12, $D$11, 100%, $F$11)</f>
        <v>5.0484999999999998</v>
      </c>
      <c r="F158" s="4">
        <f>6.0435 * CHOOSE(CONTROL!$C$12, $D$11, 100%, $F$11)</f>
        <v>6.0434999999999999</v>
      </c>
      <c r="G158" s="8">
        <f>4.9055 * CHOOSE( CONTROL!$C$12, $D$11, 100%, $F$11)</f>
        <v>4.9055</v>
      </c>
      <c r="H158" s="4">
        <f>5.8148 * CHOOSE(CONTROL!$C$12, $D$11, 100%, $F$11)</f>
        <v>5.8148</v>
      </c>
      <c r="I158" s="8">
        <f>4.8939 * CHOOSE(CONTROL!$C$12, $D$11, 100%, $F$11)</f>
        <v>4.8939000000000004</v>
      </c>
      <c r="J158" s="4">
        <f>4.821 * CHOOSE(CONTROL!$C$12, $D$11, 100%, $F$11)</f>
        <v>4.8209999999999997</v>
      </c>
      <c r="K158" s="4"/>
      <c r="L158" s="9">
        <v>28.921800000000001</v>
      </c>
      <c r="M158" s="9">
        <v>12.063700000000001</v>
      </c>
      <c r="N158" s="9">
        <v>4.9444999999999997</v>
      </c>
      <c r="O158" s="9">
        <v>0.37459999999999999</v>
      </c>
      <c r="P158" s="9">
        <v>1.2192000000000001</v>
      </c>
      <c r="Q158" s="9">
        <v>31.885999999999999</v>
      </c>
      <c r="R158" s="9"/>
      <c r="S158" s="11"/>
    </row>
    <row r="159" spans="1:19" ht="15.75">
      <c r="A159" s="13">
        <v>46692</v>
      </c>
      <c r="B159" s="8">
        <f>5.4313 * CHOOSE(CONTROL!$C$12, $D$11, 100%, $F$11)</f>
        <v>5.4313000000000002</v>
      </c>
      <c r="C159" s="8">
        <f>5.4417 * CHOOSE(CONTROL!$C$12, $D$11, 100%, $F$11)</f>
        <v>5.4417</v>
      </c>
      <c r="D159" s="8">
        <f>5.4241 * CHOOSE( CONTROL!$C$12, $D$11, 100%, $F$11)</f>
        <v>5.4241000000000001</v>
      </c>
      <c r="E159" s="12">
        <f>5.4294 * CHOOSE( CONTROL!$C$12, $D$11, 100%, $F$11)</f>
        <v>5.4294000000000002</v>
      </c>
      <c r="F159" s="4">
        <f>6.4255 * CHOOSE(CONTROL!$C$12, $D$11, 100%, $F$11)</f>
        <v>6.4255000000000004</v>
      </c>
      <c r="G159" s="8">
        <f>5.303 * CHOOSE( CONTROL!$C$12, $D$11, 100%, $F$11)</f>
        <v>5.3029999999999999</v>
      </c>
      <c r="H159" s="4">
        <f>6.1871 * CHOOSE(CONTROL!$C$12, $D$11, 100%, $F$11)</f>
        <v>6.1871</v>
      </c>
      <c r="I159" s="8">
        <f>5.2961 * CHOOSE(CONTROL!$C$12, $D$11, 100%, $F$11)</f>
        <v>5.2961</v>
      </c>
      <c r="J159" s="4">
        <f>5.1995 * CHOOSE(CONTROL!$C$12, $D$11, 100%, $F$11)</f>
        <v>5.1994999999999996</v>
      </c>
      <c r="K159" s="4"/>
      <c r="L159" s="9">
        <v>26.515499999999999</v>
      </c>
      <c r="M159" s="9">
        <v>11.6745</v>
      </c>
      <c r="N159" s="9">
        <v>4.7850000000000001</v>
      </c>
      <c r="O159" s="9">
        <v>0.36249999999999999</v>
      </c>
      <c r="P159" s="9">
        <v>1.2522</v>
      </c>
      <c r="Q159" s="9">
        <v>30.857399999999998</v>
      </c>
      <c r="R159" s="9"/>
      <c r="S159" s="11"/>
    </row>
    <row r="160" spans="1:19" ht="15.75">
      <c r="A160" s="13">
        <v>46722</v>
      </c>
      <c r="B160" s="8">
        <f>5.4214 * CHOOSE(CONTROL!$C$12, $D$11, 100%, $F$11)</f>
        <v>5.4214000000000002</v>
      </c>
      <c r="C160" s="8">
        <f>5.4318 * CHOOSE(CONTROL!$C$12, $D$11, 100%, $F$11)</f>
        <v>5.4318</v>
      </c>
      <c r="D160" s="8">
        <f>5.4162 * CHOOSE( CONTROL!$C$12, $D$11, 100%, $F$11)</f>
        <v>5.4161999999999999</v>
      </c>
      <c r="E160" s="12">
        <f>5.4208 * CHOOSE( CONTROL!$C$12, $D$11, 100%, $F$11)</f>
        <v>5.4207999999999998</v>
      </c>
      <c r="F160" s="4">
        <f>6.4156 * CHOOSE(CONTROL!$C$12, $D$11, 100%, $F$11)</f>
        <v>6.4156000000000004</v>
      </c>
      <c r="G160" s="8">
        <f>5.2949 * CHOOSE( CONTROL!$C$12, $D$11, 100%, $F$11)</f>
        <v>5.2949000000000002</v>
      </c>
      <c r="H160" s="4">
        <f>6.1775 * CHOOSE(CONTROL!$C$12, $D$11, 100%, $F$11)</f>
        <v>6.1775000000000002</v>
      </c>
      <c r="I160" s="8">
        <f>5.2939 * CHOOSE(CONTROL!$C$12, $D$11, 100%, $F$11)</f>
        <v>5.2938999999999998</v>
      </c>
      <c r="J160" s="4">
        <f>5.19 * CHOOSE(CONTROL!$C$12, $D$11, 100%, $F$11)</f>
        <v>5.19</v>
      </c>
      <c r="K160" s="4"/>
      <c r="L160" s="9">
        <v>27.3993</v>
      </c>
      <c r="M160" s="9">
        <v>12.063700000000001</v>
      </c>
      <c r="N160" s="9">
        <v>4.9444999999999997</v>
      </c>
      <c r="O160" s="9">
        <v>0.37459999999999999</v>
      </c>
      <c r="P160" s="9">
        <v>1.2939000000000001</v>
      </c>
      <c r="Q160" s="9">
        <v>31.885999999999999</v>
      </c>
      <c r="R160" s="9"/>
      <c r="S160" s="11"/>
    </row>
    <row r="161" spans="1:19" ht="15.75">
      <c r="A161" s="13">
        <v>46753</v>
      </c>
      <c r="B161" s="8">
        <f>5.5592 * CHOOSE(CONTROL!$C$12, $D$11, 100%, $F$11)</f>
        <v>5.5591999999999997</v>
      </c>
      <c r="C161" s="8">
        <f>5.5697 * CHOOSE(CONTROL!$C$12, $D$11, 100%, $F$11)</f>
        <v>5.5697000000000001</v>
      </c>
      <c r="D161" s="8">
        <f>5.5673 * CHOOSE( CONTROL!$C$12, $D$11, 100%, $F$11)</f>
        <v>5.5673000000000004</v>
      </c>
      <c r="E161" s="12">
        <f>5.5671 * CHOOSE( CONTROL!$C$12, $D$11, 100%, $F$11)</f>
        <v>5.5670999999999999</v>
      </c>
      <c r="F161" s="4">
        <f>6.5821 * CHOOSE(CONTROL!$C$12, $D$11, 100%, $F$11)</f>
        <v>6.5820999999999996</v>
      </c>
      <c r="G161" s="8">
        <f>5.4465 * CHOOSE( CONTROL!$C$12, $D$11, 100%, $F$11)</f>
        <v>5.4465000000000003</v>
      </c>
      <c r="H161" s="4">
        <f>6.3398 * CHOOSE(CONTROL!$C$12, $D$11, 100%, $F$11)</f>
        <v>6.3398000000000003</v>
      </c>
      <c r="I161" s="8">
        <f>5.4334 * CHOOSE(CONTROL!$C$12, $D$11, 100%, $F$11)</f>
        <v>5.4333999999999998</v>
      </c>
      <c r="J161" s="4">
        <f>5.3221 * CHOOSE(CONTROL!$C$12, $D$11, 100%, $F$11)</f>
        <v>5.3220999999999998</v>
      </c>
      <c r="K161" s="4"/>
      <c r="L161" s="9">
        <v>27.3993</v>
      </c>
      <c r="M161" s="9">
        <v>12.063700000000001</v>
      </c>
      <c r="N161" s="9">
        <v>4.9444999999999997</v>
      </c>
      <c r="O161" s="9">
        <v>0.37459999999999999</v>
      </c>
      <c r="P161" s="9">
        <v>1.2939000000000001</v>
      </c>
      <c r="Q161" s="9">
        <v>31.701799999999999</v>
      </c>
      <c r="R161" s="9"/>
      <c r="S161" s="11"/>
    </row>
    <row r="162" spans="1:19" ht="15.75">
      <c r="A162" s="13">
        <v>46784</v>
      </c>
      <c r="B162" s="8">
        <f>5.2002 * CHOOSE(CONTROL!$C$12, $D$11, 100%, $F$11)</f>
        <v>5.2001999999999997</v>
      </c>
      <c r="C162" s="8">
        <f>5.2106 * CHOOSE(CONTROL!$C$12, $D$11, 100%, $F$11)</f>
        <v>5.2106000000000003</v>
      </c>
      <c r="D162" s="8">
        <f>5.2106 * CHOOSE( CONTROL!$C$12, $D$11, 100%, $F$11)</f>
        <v>5.2106000000000003</v>
      </c>
      <c r="E162" s="12">
        <f>5.2095 * CHOOSE( CONTROL!$C$12, $D$11, 100%, $F$11)</f>
        <v>5.2095000000000002</v>
      </c>
      <c r="F162" s="4">
        <f>6.2152 * CHOOSE(CONTROL!$C$12, $D$11, 100%, $F$11)</f>
        <v>6.2152000000000003</v>
      </c>
      <c r="G162" s="8">
        <f>5.0963 * CHOOSE( CONTROL!$C$12, $D$11, 100%, $F$11)</f>
        <v>5.0963000000000003</v>
      </c>
      <c r="H162" s="4">
        <f>5.9822 * CHOOSE(CONTROL!$C$12, $D$11, 100%, $F$11)</f>
        <v>5.9821999999999997</v>
      </c>
      <c r="I162" s="8">
        <f>5.0782 * CHOOSE(CONTROL!$C$12, $D$11, 100%, $F$11)</f>
        <v>5.0781999999999998</v>
      </c>
      <c r="J162" s="4">
        <f>4.978 * CHOOSE(CONTROL!$C$12, $D$11, 100%, $F$11)</f>
        <v>4.9779999999999998</v>
      </c>
      <c r="K162" s="4"/>
      <c r="L162" s="9">
        <v>25.631599999999999</v>
      </c>
      <c r="M162" s="9">
        <v>11.285299999999999</v>
      </c>
      <c r="N162" s="9">
        <v>4.6254999999999997</v>
      </c>
      <c r="O162" s="9">
        <v>0.35039999999999999</v>
      </c>
      <c r="P162" s="9">
        <v>1.2104999999999999</v>
      </c>
      <c r="Q162" s="9">
        <v>29.656600000000001</v>
      </c>
      <c r="R162" s="9"/>
      <c r="S162" s="11"/>
    </row>
    <row r="163" spans="1:19" ht="15.75">
      <c r="A163" s="13">
        <v>46813</v>
      </c>
      <c r="B163" s="8">
        <f>5.0896 * CHOOSE(CONTROL!$C$12, $D$11, 100%, $F$11)</f>
        <v>5.0895999999999999</v>
      </c>
      <c r="C163" s="8">
        <f>5.1 * CHOOSE(CONTROL!$C$12, $D$11, 100%, $F$11)</f>
        <v>5.0999999999999996</v>
      </c>
      <c r="D163" s="8">
        <f>5.0798 * CHOOSE( CONTROL!$C$12, $D$11, 100%, $F$11)</f>
        <v>5.0797999999999996</v>
      </c>
      <c r="E163" s="12">
        <f>5.0861 * CHOOSE( CONTROL!$C$12, $D$11, 100%, $F$11)</f>
        <v>5.0861000000000001</v>
      </c>
      <c r="F163" s="4">
        <f>6.0885 * CHOOSE(CONTROL!$C$12, $D$11, 100%, $F$11)</f>
        <v>6.0884999999999998</v>
      </c>
      <c r="G163" s="8">
        <f>4.968 * CHOOSE( CONTROL!$C$12, $D$11, 100%, $F$11)</f>
        <v>4.968</v>
      </c>
      <c r="H163" s="4">
        <f>5.8586 * CHOOSE(CONTROL!$C$12, $D$11, 100%, $F$11)</f>
        <v>5.8586</v>
      </c>
      <c r="I163" s="8">
        <f>4.9326 * CHOOSE(CONTROL!$C$12, $D$11, 100%, $F$11)</f>
        <v>4.9325999999999999</v>
      </c>
      <c r="J163" s="4">
        <f>4.8721 * CHOOSE(CONTROL!$C$12, $D$11, 100%, $F$11)</f>
        <v>4.8720999999999997</v>
      </c>
      <c r="K163" s="4"/>
      <c r="L163" s="9">
        <v>27.3993</v>
      </c>
      <c r="M163" s="9">
        <v>12.063700000000001</v>
      </c>
      <c r="N163" s="9">
        <v>4.9444999999999997</v>
      </c>
      <c r="O163" s="9">
        <v>0.37459999999999999</v>
      </c>
      <c r="P163" s="9">
        <v>1.2939000000000001</v>
      </c>
      <c r="Q163" s="9">
        <v>31.701799999999999</v>
      </c>
      <c r="R163" s="9"/>
      <c r="S163" s="11"/>
    </row>
    <row r="164" spans="1:19" ht="15.75">
      <c r="A164" s="13">
        <v>46844</v>
      </c>
      <c r="B164" s="8">
        <f>5.1669 * CHOOSE(CONTROL!$C$12, $D$11, 100%, $F$11)</f>
        <v>5.1669</v>
      </c>
      <c r="C164" s="8">
        <f>5.1773 * CHOOSE(CONTROL!$C$12, $D$11, 100%, $F$11)</f>
        <v>5.1772999999999998</v>
      </c>
      <c r="D164" s="8">
        <f>5.1805 * CHOOSE( CONTROL!$C$12, $D$11, 100%, $F$11)</f>
        <v>5.1805000000000003</v>
      </c>
      <c r="E164" s="12">
        <f>5.1783 * CHOOSE( CONTROL!$C$12, $D$11, 100%, $F$11)</f>
        <v>5.1783000000000001</v>
      </c>
      <c r="F164" s="4">
        <f>6.1741 * CHOOSE(CONTROL!$C$12, $D$11, 100%, $F$11)</f>
        <v>6.1741000000000001</v>
      </c>
      <c r="G164" s="8">
        <f>5.0312 * CHOOSE( CONTROL!$C$12, $D$11, 100%, $F$11)</f>
        <v>5.0312000000000001</v>
      </c>
      <c r="H164" s="4">
        <f>5.9421 * CHOOSE(CONTROL!$C$12, $D$11, 100%, $F$11)</f>
        <v>5.9420999999999999</v>
      </c>
      <c r="I164" s="8">
        <f>4.9968 * CHOOSE(CONTROL!$C$12, $D$11, 100%, $F$11)</f>
        <v>4.9968000000000004</v>
      </c>
      <c r="J164" s="4">
        <f>4.9461 * CHOOSE(CONTROL!$C$12, $D$11, 100%, $F$11)</f>
        <v>4.9461000000000004</v>
      </c>
      <c r="K164" s="4"/>
      <c r="L164" s="9">
        <v>27.988800000000001</v>
      </c>
      <c r="M164" s="9">
        <v>11.6745</v>
      </c>
      <c r="N164" s="9">
        <v>4.7850000000000001</v>
      </c>
      <c r="O164" s="9">
        <v>0.36249999999999999</v>
      </c>
      <c r="P164" s="9">
        <v>1.1798</v>
      </c>
      <c r="Q164" s="9">
        <v>30.679200000000002</v>
      </c>
      <c r="R164" s="9"/>
      <c r="S164" s="11"/>
    </row>
    <row r="165" spans="1:19" ht="15.75">
      <c r="A165" s="13">
        <v>46874</v>
      </c>
      <c r="B165" s="8">
        <f>CHOOSE( CONTROL!$C$29, 5.3086, 5.3044) * CHOOSE(CONTROL!$C$12, $D$11, 100%, $F$11)</f>
        <v>5.3086000000000002</v>
      </c>
      <c r="C165" s="8">
        <f>CHOOSE( CONTROL!$C$29, 5.3191, 5.3148) * CHOOSE(CONTROL!$C$12, $D$11, 100%, $F$11)</f>
        <v>5.3190999999999997</v>
      </c>
      <c r="D165" s="8">
        <f>CHOOSE( CONTROL!$C$29, 5.297, 5.2927) * CHOOSE( CONTROL!$C$12, $D$11, 100%, $F$11)</f>
        <v>5.2969999999999997</v>
      </c>
      <c r="E165" s="12">
        <f>CHOOSE( CONTROL!$C$29, 5.3034, 5.2991) * CHOOSE( CONTROL!$C$12, $D$11, 100%, $F$11)</f>
        <v>5.3033999999999999</v>
      </c>
      <c r="F165" s="4">
        <f>CHOOSE( CONTROL!$C$29, 6.2835, 6.2793) * CHOOSE(CONTROL!$C$12, $D$11, 100%, $F$11)</f>
        <v>6.2835000000000001</v>
      </c>
      <c r="G165" s="8">
        <f>CHOOSE( CONTROL!$C$29, 5.1507, 5.1465) * CHOOSE( CONTROL!$C$12, $D$11, 100%, $F$11)</f>
        <v>5.1506999999999996</v>
      </c>
      <c r="H165" s="4">
        <f>CHOOSE( CONTROL!$C$29, 6.0488, 6.0446) * CHOOSE(CONTROL!$C$12, $D$11, 100%, $F$11)</f>
        <v>6.0488</v>
      </c>
      <c r="I165" s="8">
        <f>CHOOSE( CONTROL!$C$29, 5.1112, 5.1071) * CHOOSE(CONTROL!$C$12, $D$11, 100%, $F$11)</f>
        <v>5.1112000000000002</v>
      </c>
      <c r="J165" s="4">
        <f>CHOOSE( CONTROL!$C$29, 5.082, 5.0779) * CHOOSE(CONTROL!$C$12, $D$11, 100%, $F$11)</f>
        <v>5.0819999999999999</v>
      </c>
      <c r="K165" s="4"/>
      <c r="L165" s="9">
        <v>29.520499999999998</v>
      </c>
      <c r="M165" s="9">
        <v>12.063700000000001</v>
      </c>
      <c r="N165" s="9">
        <v>4.9444999999999997</v>
      </c>
      <c r="O165" s="9">
        <v>0.37459999999999999</v>
      </c>
      <c r="P165" s="9">
        <v>1.2192000000000001</v>
      </c>
      <c r="Q165" s="9">
        <v>31.701799999999999</v>
      </c>
      <c r="R165" s="9"/>
      <c r="S165" s="11"/>
    </row>
    <row r="166" spans="1:19" ht="15.75">
      <c r="A166" s="13">
        <v>46905</v>
      </c>
      <c r="B166" s="8">
        <f>CHOOSE( CONTROL!$C$29, 5.2234, 5.2192) * CHOOSE(CONTROL!$C$12, $D$11, 100%, $F$11)</f>
        <v>5.2233999999999998</v>
      </c>
      <c r="C166" s="8">
        <f>CHOOSE( CONTROL!$C$29, 5.2339, 5.2296) * CHOOSE(CONTROL!$C$12, $D$11, 100%, $F$11)</f>
        <v>5.2339000000000002</v>
      </c>
      <c r="D166" s="8">
        <f>CHOOSE( CONTROL!$C$29, 5.2062, 5.202) * CHOOSE( CONTROL!$C$12, $D$11, 100%, $F$11)</f>
        <v>5.2061999999999999</v>
      </c>
      <c r="E166" s="12">
        <f>CHOOSE( CONTROL!$C$29, 5.2146, 5.2104) * CHOOSE( CONTROL!$C$12, $D$11, 100%, $F$11)</f>
        <v>5.2145999999999999</v>
      </c>
      <c r="F166" s="4">
        <f>CHOOSE( CONTROL!$C$29, 6.1879, 6.1837) * CHOOSE(CONTROL!$C$12, $D$11, 100%, $F$11)</f>
        <v>6.1879</v>
      </c>
      <c r="G166" s="8">
        <f>CHOOSE( CONTROL!$C$29, 5.0663, 5.0622) * CHOOSE( CONTROL!$C$12, $D$11, 100%, $F$11)</f>
        <v>5.0663</v>
      </c>
      <c r="H166" s="4">
        <f>CHOOSE( CONTROL!$C$29, 5.9555, 5.9514) * CHOOSE(CONTROL!$C$12, $D$11, 100%, $F$11)</f>
        <v>5.9554999999999998</v>
      </c>
      <c r="I166" s="8">
        <f>CHOOSE( CONTROL!$C$29, 5.0317, 5.0276) * CHOOSE(CONTROL!$C$12, $D$11, 100%, $F$11)</f>
        <v>5.0316999999999998</v>
      </c>
      <c r="J166" s="4">
        <f>CHOOSE( CONTROL!$C$29, 5.0003, 4.9963) * CHOOSE(CONTROL!$C$12, $D$11, 100%, $F$11)</f>
        <v>5.0003000000000002</v>
      </c>
      <c r="K166" s="4"/>
      <c r="L166" s="9">
        <v>28.568200000000001</v>
      </c>
      <c r="M166" s="9">
        <v>11.6745</v>
      </c>
      <c r="N166" s="9">
        <v>4.7850000000000001</v>
      </c>
      <c r="O166" s="9">
        <v>0.36249999999999999</v>
      </c>
      <c r="P166" s="9">
        <v>1.1798</v>
      </c>
      <c r="Q166" s="9">
        <v>30.679200000000002</v>
      </c>
      <c r="R166" s="9"/>
      <c r="S166" s="11"/>
    </row>
    <row r="167" spans="1:19" ht="15.75">
      <c r="A167" s="13">
        <v>46935</v>
      </c>
      <c r="B167" s="8">
        <f>CHOOSE( CONTROL!$C$29, 5.4478, 5.4436) * CHOOSE(CONTROL!$C$12, $D$11, 100%, $F$11)</f>
        <v>5.4478</v>
      </c>
      <c r="C167" s="8">
        <f>CHOOSE( CONTROL!$C$29, 5.4582, 5.454) * CHOOSE(CONTROL!$C$12, $D$11, 100%, $F$11)</f>
        <v>5.4581999999999997</v>
      </c>
      <c r="D167" s="8">
        <f>CHOOSE( CONTROL!$C$29, 5.4644, 5.4601) * CHOOSE( CONTROL!$C$12, $D$11, 100%, $F$11)</f>
        <v>5.4644000000000004</v>
      </c>
      <c r="E167" s="12">
        <f>CHOOSE( CONTROL!$C$29, 5.4606, 5.4563) * CHOOSE( CONTROL!$C$12, $D$11, 100%, $F$11)</f>
        <v>5.4606000000000003</v>
      </c>
      <c r="F167" s="4">
        <f>CHOOSE( CONTROL!$C$29, 6.4577, 6.4534) * CHOOSE(CONTROL!$C$12, $D$11, 100%, $F$11)</f>
        <v>6.4577</v>
      </c>
      <c r="G167" s="8">
        <f>CHOOSE( CONTROL!$C$29, 5.3111, 5.307) * CHOOSE( CONTROL!$C$12, $D$11, 100%, $F$11)</f>
        <v>5.3110999999999997</v>
      </c>
      <c r="H167" s="4">
        <f>CHOOSE( CONTROL!$C$29, 6.2185, 6.2144) * CHOOSE(CONTROL!$C$12, $D$11, 100%, $F$11)</f>
        <v>6.2184999999999997</v>
      </c>
      <c r="I167" s="8">
        <f>CHOOSE( CONTROL!$C$29, 5.3021, 5.298) * CHOOSE(CONTROL!$C$12, $D$11, 100%, $F$11)</f>
        <v>5.3021000000000003</v>
      </c>
      <c r="J167" s="4">
        <f>CHOOSE( CONTROL!$C$29, 5.2153, 5.2113) * CHOOSE(CONTROL!$C$12, $D$11, 100%, $F$11)</f>
        <v>5.2153</v>
      </c>
      <c r="K167" s="4"/>
      <c r="L167" s="9">
        <v>29.520499999999998</v>
      </c>
      <c r="M167" s="9">
        <v>12.063700000000001</v>
      </c>
      <c r="N167" s="9">
        <v>4.9444999999999997</v>
      </c>
      <c r="O167" s="9">
        <v>0.37459999999999999</v>
      </c>
      <c r="P167" s="9">
        <v>1.2192000000000001</v>
      </c>
      <c r="Q167" s="9">
        <v>31.701799999999999</v>
      </c>
      <c r="R167" s="9"/>
      <c r="S167" s="11"/>
    </row>
    <row r="168" spans="1:19" ht="15.75">
      <c r="A168" s="13">
        <v>46966</v>
      </c>
      <c r="B168" s="8">
        <f>CHOOSE( CONTROL!$C$29, 5.028, 5.0237) * CHOOSE(CONTROL!$C$12, $D$11, 100%, $F$11)</f>
        <v>5.0279999999999996</v>
      </c>
      <c r="C168" s="8">
        <f>CHOOSE( CONTROL!$C$29, 5.0384, 5.0342) * CHOOSE(CONTROL!$C$12, $D$11, 100%, $F$11)</f>
        <v>5.0384000000000002</v>
      </c>
      <c r="D168" s="8">
        <f>CHOOSE( CONTROL!$C$29, 5.061, 5.0568) * CHOOSE( CONTROL!$C$12, $D$11, 100%, $F$11)</f>
        <v>5.0609999999999999</v>
      </c>
      <c r="E168" s="12">
        <f>CHOOSE( CONTROL!$C$29, 5.0512, 5.047) * CHOOSE( CONTROL!$C$12, $D$11, 100%, $F$11)</f>
        <v>5.0511999999999997</v>
      </c>
      <c r="F168" s="4">
        <f>CHOOSE( CONTROL!$C$29, 6.0665, 6.0623) * CHOOSE(CONTROL!$C$12, $D$11, 100%, $F$11)</f>
        <v>6.0664999999999996</v>
      </c>
      <c r="G168" s="8">
        <f>CHOOSE( CONTROL!$C$29, 4.9075, 4.9033) * CHOOSE( CONTROL!$C$12, $D$11, 100%, $F$11)</f>
        <v>4.9074999999999998</v>
      </c>
      <c r="H168" s="4">
        <f>CHOOSE( CONTROL!$C$29, 5.8372, 5.8331) * CHOOSE(CONTROL!$C$12, $D$11, 100%, $F$11)</f>
        <v>5.8372000000000002</v>
      </c>
      <c r="I168" s="8">
        <f>CHOOSE( CONTROL!$C$29, 4.8911, 4.887) * CHOOSE(CONTROL!$C$12, $D$11, 100%, $F$11)</f>
        <v>4.8910999999999998</v>
      </c>
      <c r="J168" s="4">
        <f>CHOOSE( CONTROL!$C$29, 4.8131, 4.809) * CHOOSE(CONTROL!$C$12, $D$11, 100%, $F$11)</f>
        <v>4.8131000000000004</v>
      </c>
      <c r="K168" s="4"/>
      <c r="L168" s="9">
        <v>29.520499999999998</v>
      </c>
      <c r="M168" s="9">
        <v>12.063700000000001</v>
      </c>
      <c r="N168" s="9">
        <v>4.9444999999999997</v>
      </c>
      <c r="O168" s="9">
        <v>0.37459999999999999</v>
      </c>
      <c r="P168" s="9">
        <v>1.2192000000000001</v>
      </c>
      <c r="Q168" s="9">
        <v>31.701799999999999</v>
      </c>
      <c r="R168" s="9"/>
      <c r="S168" s="11"/>
    </row>
    <row r="169" spans="1:19" ht="15.75">
      <c r="A169" s="13">
        <v>46997</v>
      </c>
      <c r="B169" s="8">
        <f>CHOOSE( CONTROL!$C$29, 4.9229, 4.9186) * CHOOSE(CONTROL!$C$12, $D$11, 100%, $F$11)</f>
        <v>4.9229000000000003</v>
      </c>
      <c r="C169" s="8">
        <f>CHOOSE( CONTROL!$C$29, 4.9333, 4.929) * CHOOSE(CONTROL!$C$12, $D$11, 100%, $F$11)</f>
        <v>4.9333</v>
      </c>
      <c r="D169" s="8">
        <f>CHOOSE( CONTROL!$C$29, 4.9559, 4.9516) * CHOOSE( CONTROL!$C$12, $D$11, 100%, $F$11)</f>
        <v>4.9558999999999997</v>
      </c>
      <c r="E169" s="12">
        <f>CHOOSE( CONTROL!$C$29, 4.9461, 4.9418) * CHOOSE( CONTROL!$C$12, $D$11, 100%, $F$11)</f>
        <v>4.9461000000000004</v>
      </c>
      <c r="F169" s="4">
        <f>CHOOSE( CONTROL!$C$29, 5.9614, 5.9572) * CHOOSE(CONTROL!$C$12, $D$11, 100%, $F$11)</f>
        <v>5.9614000000000003</v>
      </c>
      <c r="G169" s="8">
        <f>CHOOSE( CONTROL!$C$29, 4.8047, 4.8006) * CHOOSE( CONTROL!$C$12, $D$11, 100%, $F$11)</f>
        <v>4.8047000000000004</v>
      </c>
      <c r="H169" s="4">
        <f>CHOOSE( CONTROL!$C$29, 5.7348, 5.7306) * CHOOSE(CONTROL!$C$12, $D$11, 100%, $F$11)</f>
        <v>5.7347999999999999</v>
      </c>
      <c r="I169" s="8">
        <f>CHOOSE( CONTROL!$C$29, 4.7886, 4.7845) * CHOOSE(CONTROL!$C$12, $D$11, 100%, $F$11)</f>
        <v>4.7885999999999997</v>
      </c>
      <c r="J169" s="4">
        <f>CHOOSE( CONTROL!$C$29, 4.7123, 4.7083) * CHOOSE(CONTROL!$C$12, $D$11, 100%, $F$11)</f>
        <v>4.7122999999999999</v>
      </c>
      <c r="K169" s="4"/>
      <c r="L169" s="9">
        <v>28.568200000000001</v>
      </c>
      <c r="M169" s="9">
        <v>11.6745</v>
      </c>
      <c r="N169" s="9">
        <v>4.7850000000000001</v>
      </c>
      <c r="O169" s="9">
        <v>0.36249999999999999</v>
      </c>
      <c r="P169" s="9">
        <v>1.1798</v>
      </c>
      <c r="Q169" s="9">
        <v>30.679200000000002</v>
      </c>
      <c r="R169" s="9"/>
      <c r="S169" s="11"/>
    </row>
    <row r="170" spans="1:19" ht="15.75">
      <c r="A170" s="13">
        <v>47027</v>
      </c>
      <c r="B170" s="8">
        <f>5.1369 * CHOOSE(CONTROL!$C$12, $D$11, 100%, $F$11)</f>
        <v>5.1368999999999998</v>
      </c>
      <c r="C170" s="8">
        <f>5.1473 * CHOOSE(CONTROL!$C$12, $D$11, 100%, $F$11)</f>
        <v>5.1473000000000004</v>
      </c>
      <c r="D170" s="8">
        <f>5.1518 * CHOOSE( CONTROL!$C$12, $D$11, 100%, $F$11)</f>
        <v>5.1517999999999997</v>
      </c>
      <c r="E170" s="12">
        <f>5.1492 * CHOOSE( CONTROL!$C$12, $D$11, 100%, $F$11)</f>
        <v>5.1492000000000004</v>
      </c>
      <c r="F170" s="4">
        <f>6.1441 * CHOOSE(CONTROL!$C$12, $D$11, 100%, $F$11)</f>
        <v>6.1440999999999999</v>
      </c>
      <c r="G170" s="8">
        <f>5.0036 * CHOOSE( CONTROL!$C$12, $D$11, 100%, $F$11)</f>
        <v>5.0035999999999996</v>
      </c>
      <c r="H170" s="4">
        <f>5.9129 * CHOOSE(CONTROL!$C$12, $D$11, 100%, $F$11)</f>
        <v>5.9128999999999996</v>
      </c>
      <c r="I170" s="8">
        <f>4.9904 * CHOOSE(CONTROL!$C$12, $D$11, 100%, $F$11)</f>
        <v>4.9904000000000002</v>
      </c>
      <c r="J170" s="4">
        <f>4.9174 * CHOOSE(CONTROL!$C$12, $D$11, 100%, $F$11)</f>
        <v>4.9173999999999998</v>
      </c>
      <c r="K170" s="4"/>
      <c r="L170" s="9">
        <v>28.921800000000001</v>
      </c>
      <c r="M170" s="9">
        <v>12.063700000000001</v>
      </c>
      <c r="N170" s="9">
        <v>4.9444999999999997</v>
      </c>
      <c r="O170" s="9">
        <v>0.37459999999999999</v>
      </c>
      <c r="P170" s="9">
        <v>1.2192000000000001</v>
      </c>
      <c r="Q170" s="9">
        <v>31.701799999999999</v>
      </c>
      <c r="R170" s="9"/>
      <c r="S170" s="11"/>
    </row>
    <row r="171" spans="1:19" ht="15.75">
      <c r="A171" s="13">
        <v>47058</v>
      </c>
      <c r="B171" s="8">
        <f>5.5398 * CHOOSE(CONTROL!$C$12, $D$11, 100%, $F$11)</f>
        <v>5.5397999999999996</v>
      </c>
      <c r="C171" s="8">
        <f>5.5502 * CHOOSE(CONTROL!$C$12, $D$11, 100%, $F$11)</f>
        <v>5.5502000000000002</v>
      </c>
      <c r="D171" s="8">
        <f>5.5326 * CHOOSE( CONTROL!$C$12, $D$11, 100%, $F$11)</f>
        <v>5.5326000000000004</v>
      </c>
      <c r="E171" s="12">
        <f>5.5379 * CHOOSE( CONTROL!$C$12, $D$11, 100%, $F$11)</f>
        <v>5.5378999999999996</v>
      </c>
      <c r="F171" s="4">
        <f>6.534 * CHOOSE(CONTROL!$C$12, $D$11, 100%, $F$11)</f>
        <v>6.5339999999999998</v>
      </c>
      <c r="G171" s="8">
        <f>5.4088 * CHOOSE( CONTROL!$C$12, $D$11, 100%, $F$11)</f>
        <v>5.4088000000000003</v>
      </c>
      <c r="H171" s="4">
        <f>6.2929 * CHOOSE(CONTROL!$C$12, $D$11, 100%, $F$11)</f>
        <v>6.2929000000000004</v>
      </c>
      <c r="I171" s="8">
        <f>5.4001 * CHOOSE(CONTROL!$C$12, $D$11, 100%, $F$11)</f>
        <v>5.4001000000000001</v>
      </c>
      <c r="J171" s="4">
        <f>5.3035 * CHOOSE(CONTROL!$C$12, $D$11, 100%, $F$11)</f>
        <v>5.3034999999999997</v>
      </c>
      <c r="K171" s="4"/>
      <c r="L171" s="9">
        <v>26.515499999999999</v>
      </c>
      <c r="M171" s="9">
        <v>11.6745</v>
      </c>
      <c r="N171" s="9">
        <v>4.7850000000000001</v>
      </c>
      <c r="O171" s="9">
        <v>0.36249999999999999</v>
      </c>
      <c r="P171" s="9">
        <v>1.2522</v>
      </c>
      <c r="Q171" s="9">
        <v>30.679200000000002</v>
      </c>
      <c r="R171" s="9"/>
      <c r="S171" s="11"/>
    </row>
    <row r="172" spans="1:19" ht="15.75">
      <c r="A172" s="13">
        <v>47088</v>
      </c>
      <c r="B172" s="8">
        <f>5.5297 * CHOOSE(CONTROL!$C$12, $D$11, 100%, $F$11)</f>
        <v>5.5297000000000001</v>
      </c>
      <c r="C172" s="8">
        <f>5.5402 * CHOOSE(CONTROL!$C$12, $D$11, 100%, $F$11)</f>
        <v>5.5401999999999996</v>
      </c>
      <c r="D172" s="8">
        <f>5.5246 * CHOOSE( CONTROL!$C$12, $D$11, 100%, $F$11)</f>
        <v>5.5246000000000004</v>
      </c>
      <c r="E172" s="12">
        <f>5.5292 * CHOOSE( CONTROL!$C$12, $D$11, 100%, $F$11)</f>
        <v>5.5292000000000003</v>
      </c>
      <c r="F172" s="4">
        <f>6.5239 * CHOOSE(CONTROL!$C$12, $D$11, 100%, $F$11)</f>
        <v>6.5239000000000003</v>
      </c>
      <c r="G172" s="8">
        <f>5.4005 * CHOOSE( CONTROL!$C$12, $D$11, 100%, $F$11)</f>
        <v>5.4005000000000001</v>
      </c>
      <c r="H172" s="4">
        <f>6.2831 * CHOOSE(CONTROL!$C$12, $D$11, 100%, $F$11)</f>
        <v>6.2831000000000001</v>
      </c>
      <c r="I172" s="8">
        <f>5.3977 * CHOOSE(CONTROL!$C$12, $D$11, 100%, $F$11)</f>
        <v>5.3977000000000004</v>
      </c>
      <c r="J172" s="4">
        <f>5.2938 * CHOOSE(CONTROL!$C$12, $D$11, 100%, $F$11)</f>
        <v>5.2938000000000001</v>
      </c>
      <c r="K172" s="4"/>
      <c r="L172" s="9">
        <v>27.3993</v>
      </c>
      <c r="M172" s="9">
        <v>12.063700000000001</v>
      </c>
      <c r="N172" s="9">
        <v>4.9444999999999997</v>
      </c>
      <c r="O172" s="9">
        <v>0.37459999999999999</v>
      </c>
      <c r="P172" s="9">
        <v>1.2939000000000001</v>
      </c>
      <c r="Q172" s="9">
        <v>31.701799999999999</v>
      </c>
      <c r="R172" s="9"/>
      <c r="S172" s="11"/>
    </row>
    <row r="173" spans="1:19" ht="15.75">
      <c r="A173" s="13">
        <v>47119</v>
      </c>
      <c r="B173" s="8">
        <f>5.6703 * CHOOSE(CONTROL!$C$12, $D$11, 100%, $F$11)</f>
        <v>5.6703000000000001</v>
      </c>
      <c r="C173" s="8">
        <f>5.6808 * CHOOSE(CONTROL!$C$12, $D$11, 100%, $F$11)</f>
        <v>5.6807999999999996</v>
      </c>
      <c r="D173" s="8">
        <f>5.6784 * CHOOSE( CONTROL!$C$12, $D$11, 100%, $F$11)</f>
        <v>5.6783999999999999</v>
      </c>
      <c r="E173" s="12">
        <f>5.6782 * CHOOSE( CONTROL!$C$12, $D$11, 100%, $F$11)</f>
        <v>5.6782000000000004</v>
      </c>
      <c r="F173" s="4">
        <f>6.6932 * CHOOSE(CONTROL!$C$12, $D$11, 100%, $F$11)</f>
        <v>6.6932</v>
      </c>
      <c r="G173" s="8">
        <f>5.5548 * CHOOSE( CONTROL!$C$12, $D$11, 100%, $F$11)</f>
        <v>5.5548000000000002</v>
      </c>
      <c r="H173" s="4">
        <f>6.4481 * CHOOSE(CONTROL!$C$12, $D$11, 100%, $F$11)</f>
        <v>6.4481000000000002</v>
      </c>
      <c r="I173" s="8">
        <f>5.5398 * CHOOSE(CONTROL!$C$12, $D$11, 100%, $F$11)</f>
        <v>5.5397999999999996</v>
      </c>
      <c r="J173" s="4">
        <f>5.4285 * CHOOSE(CONTROL!$C$12, $D$11, 100%, $F$11)</f>
        <v>5.4284999999999997</v>
      </c>
      <c r="K173" s="4"/>
      <c r="L173" s="9">
        <v>27.3993</v>
      </c>
      <c r="M173" s="9">
        <v>12.063700000000001</v>
      </c>
      <c r="N173" s="9">
        <v>4.9444999999999997</v>
      </c>
      <c r="O173" s="9">
        <v>0.37459999999999999</v>
      </c>
      <c r="P173" s="9">
        <v>1.2939000000000001</v>
      </c>
      <c r="Q173" s="9">
        <v>31.517700000000001</v>
      </c>
      <c r="R173" s="9"/>
      <c r="S173" s="11"/>
    </row>
    <row r="174" spans="1:19" ht="15.75">
      <c r="A174" s="13">
        <v>47150</v>
      </c>
      <c r="B174" s="8">
        <f>5.3041 * CHOOSE(CONTROL!$C$12, $D$11, 100%, $F$11)</f>
        <v>5.3041</v>
      </c>
      <c r="C174" s="8">
        <f>5.3145 * CHOOSE(CONTROL!$C$12, $D$11, 100%, $F$11)</f>
        <v>5.3144999999999998</v>
      </c>
      <c r="D174" s="8">
        <f>5.3145 * CHOOSE( CONTROL!$C$12, $D$11, 100%, $F$11)</f>
        <v>5.3144999999999998</v>
      </c>
      <c r="E174" s="12">
        <f>5.3134 * CHOOSE( CONTROL!$C$12, $D$11, 100%, $F$11)</f>
        <v>5.3133999999999997</v>
      </c>
      <c r="F174" s="4">
        <f>6.3191 * CHOOSE(CONTROL!$C$12, $D$11, 100%, $F$11)</f>
        <v>6.3190999999999997</v>
      </c>
      <c r="G174" s="8">
        <f>5.1976 * CHOOSE( CONTROL!$C$12, $D$11, 100%, $F$11)</f>
        <v>5.1976000000000004</v>
      </c>
      <c r="H174" s="4">
        <f>6.0835 * CHOOSE(CONTROL!$C$12, $D$11, 100%, $F$11)</f>
        <v>6.0834999999999999</v>
      </c>
      <c r="I174" s="8">
        <f>5.1778 * CHOOSE(CONTROL!$C$12, $D$11, 100%, $F$11)</f>
        <v>5.1778000000000004</v>
      </c>
      <c r="J174" s="4">
        <f>5.0776 * CHOOSE(CONTROL!$C$12, $D$11, 100%, $F$11)</f>
        <v>5.0776000000000003</v>
      </c>
      <c r="K174" s="4"/>
      <c r="L174" s="9">
        <v>24.747800000000002</v>
      </c>
      <c r="M174" s="9">
        <v>10.8962</v>
      </c>
      <c r="N174" s="9">
        <v>4.4660000000000002</v>
      </c>
      <c r="O174" s="9">
        <v>0.33829999999999999</v>
      </c>
      <c r="P174" s="9">
        <v>1.1687000000000001</v>
      </c>
      <c r="Q174" s="9">
        <v>28.467600000000001</v>
      </c>
      <c r="R174" s="9"/>
      <c r="S174" s="11"/>
    </row>
    <row r="175" spans="1:19" ht="15.75">
      <c r="A175" s="13">
        <v>47178</v>
      </c>
      <c r="B175" s="8">
        <f>5.1913 * CHOOSE(CONTROL!$C$12, $D$11, 100%, $F$11)</f>
        <v>5.1913</v>
      </c>
      <c r="C175" s="8">
        <f>5.2017 * CHOOSE(CONTROL!$C$12, $D$11, 100%, $F$11)</f>
        <v>5.2016999999999998</v>
      </c>
      <c r="D175" s="8">
        <f>5.1815 * CHOOSE( CONTROL!$C$12, $D$11, 100%, $F$11)</f>
        <v>5.1814999999999998</v>
      </c>
      <c r="E175" s="12">
        <f>5.1878 * CHOOSE( CONTROL!$C$12, $D$11, 100%, $F$11)</f>
        <v>5.1878000000000002</v>
      </c>
      <c r="F175" s="4">
        <f>6.1902 * CHOOSE(CONTROL!$C$12, $D$11, 100%, $F$11)</f>
        <v>6.1901999999999999</v>
      </c>
      <c r="G175" s="8">
        <f>5.0672 * CHOOSE( CONTROL!$C$12, $D$11, 100%, $F$11)</f>
        <v>5.0671999999999997</v>
      </c>
      <c r="H175" s="4">
        <f>5.9578 * CHOOSE(CONTROL!$C$12, $D$11, 100%, $F$11)</f>
        <v>5.9577999999999998</v>
      </c>
      <c r="I175" s="8">
        <f>5.0301 * CHOOSE(CONTROL!$C$12, $D$11, 100%, $F$11)</f>
        <v>5.0301</v>
      </c>
      <c r="J175" s="4">
        <f>4.9695 * CHOOSE(CONTROL!$C$12, $D$11, 100%, $F$11)</f>
        <v>4.9695</v>
      </c>
      <c r="K175" s="4"/>
      <c r="L175" s="9">
        <v>27.3993</v>
      </c>
      <c r="M175" s="9">
        <v>12.063700000000001</v>
      </c>
      <c r="N175" s="9">
        <v>4.9444999999999997</v>
      </c>
      <c r="O175" s="9">
        <v>0.37459999999999999</v>
      </c>
      <c r="P175" s="9">
        <v>1.2939000000000001</v>
      </c>
      <c r="Q175" s="9">
        <v>31.517700000000001</v>
      </c>
      <c r="R175" s="9"/>
      <c r="S175" s="11"/>
    </row>
    <row r="176" spans="1:19" ht="15.75">
      <c r="A176" s="13">
        <v>47209</v>
      </c>
      <c r="B176" s="8">
        <f>5.2701 * CHOOSE(CONTROL!$C$12, $D$11, 100%, $F$11)</f>
        <v>5.2701000000000002</v>
      </c>
      <c r="C176" s="8">
        <f>5.2805 * CHOOSE(CONTROL!$C$12, $D$11, 100%, $F$11)</f>
        <v>5.2805</v>
      </c>
      <c r="D176" s="8">
        <f>5.2837 * CHOOSE( CONTROL!$C$12, $D$11, 100%, $F$11)</f>
        <v>5.2836999999999996</v>
      </c>
      <c r="E176" s="12">
        <f>5.2815 * CHOOSE( CONTROL!$C$12, $D$11, 100%, $F$11)</f>
        <v>5.2815000000000003</v>
      </c>
      <c r="F176" s="4">
        <f>6.2773 * CHOOSE(CONTROL!$C$12, $D$11, 100%, $F$11)</f>
        <v>6.2773000000000003</v>
      </c>
      <c r="G176" s="8">
        <f>5.1319 * CHOOSE( CONTROL!$C$12, $D$11, 100%, $F$11)</f>
        <v>5.1318999999999999</v>
      </c>
      <c r="H176" s="4">
        <f>6.0427 * CHOOSE(CONTROL!$C$12, $D$11, 100%, $F$11)</f>
        <v>6.0427</v>
      </c>
      <c r="I176" s="8">
        <f>5.0958 * CHOOSE(CONTROL!$C$12, $D$11, 100%, $F$11)</f>
        <v>5.0957999999999997</v>
      </c>
      <c r="J176" s="4">
        <f>5.045 * CHOOSE(CONTROL!$C$12, $D$11, 100%, $F$11)</f>
        <v>5.0449999999999999</v>
      </c>
      <c r="K176" s="4"/>
      <c r="L176" s="9">
        <v>27.988800000000001</v>
      </c>
      <c r="M176" s="9">
        <v>11.6745</v>
      </c>
      <c r="N176" s="9">
        <v>4.7850000000000001</v>
      </c>
      <c r="O176" s="9">
        <v>0.36249999999999999</v>
      </c>
      <c r="P176" s="9">
        <v>1.1798</v>
      </c>
      <c r="Q176" s="9">
        <v>30.501000000000001</v>
      </c>
      <c r="R176" s="9"/>
      <c r="S176" s="11"/>
    </row>
    <row r="177" spans="1:19" ht="15.75">
      <c r="A177" s="13">
        <v>47239</v>
      </c>
      <c r="B177" s="8">
        <f>CHOOSE( CONTROL!$C$29, 5.4146, 5.4104) * CHOOSE(CONTROL!$C$12, $D$11, 100%, $F$11)</f>
        <v>5.4146000000000001</v>
      </c>
      <c r="C177" s="8">
        <f>CHOOSE( CONTROL!$C$29, 5.4251, 5.4208) * CHOOSE(CONTROL!$C$12, $D$11, 100%, $F$11)</f>
        <v>5.4250999999999996</v>
      </c>
      <c r="D177" s="8">
        <f>CHOOSE( CONTROL!$C$29, 5.403, 5.3987) * CHOOSE( CONTROL!$C$12, $D$11, 100%, $F$11)</f>
        <v>5.4029999999999996</v>
      </c>
      <c r="E177" s="12">
        <f>CHOOSE( CONTROL!$C$29, 5.4094, 5.4051) * CHOOSE( CONTROL!$C$12, $D$11, 100%, $F$11)</f>
        <v>5.4093999999999998</v>
      </c>
      <c r="F177" s="4">
        <f>CHOOSE( CONTROL!$C$29, 6.3895, 6.3853) * CHOOSE(CONTROL!$C$12, $D$11, 100%, $F$11)</f>
        <v>6.3895</v>
      </c>
      <c r="G177" s="8">
        <f>CHOOSE( CONTROL!$C$29, 5.254, 5.2498) * CHOOSE( CONTROL!$C$12, $D$11, 100%, $F$11)</f>
        <v>5.2539999999999996</v>
      </c>
      <c r="H177" s="4">
        <f>CHOOSE( CONTROL!$C$29, 6.1521, 6.1479) * CHOOSE(CONTROL!$C$12, $D$11, 100%, $F$11)</f>
        <v>6.1520999999999999</v>
      </c>
      <c r="I177" s="8">
        <f>CHOOSE( CONTROL!$C$29, 5.2128, 5.2088) * CHOOSE(CONTROL!$C$12, $D$11, 100%, $F$11)</f>
        <v>5.2127999999999997</v>
      </c>
      <c r="J177" s="4">
        <f>CHOOSE( CONTROL!$C$29, 5.1835, 5.1795) * CHOOSE(CONTROL!$C$12, $D$11, 100%, $F$11)</f>
        <v>5.1835000000000004</v>
      </c>
      <c r="K177" s="4"/>
      <c r="L177" s="9">
        <v>29.520499999999998</v>
      </c>
      <c r="M177" s="9">
        <v>12.063700000000001</v>
      </c>
      <c r="N177" s="9">
        <v>4.9444999999999997</v>
      </c>
      <c r="O177" s="9">
        <v>0.37459999999999999</v>
      </c>
      <c r="P177" s="9">
        <v>1.2192000000000001</v>
      </c>
      <c r="Q177" s="9">
        <v>31.517700000000001</v>
      </c>
      <c r="R177" s="9"/>
      <c r="S177" s="11"/>
    </row>
    <row r="178" spans="1:19" ht="15.75">
      <c r="A178" s="13">
        <v>47270</v>
      </c>
      <c r="B178" s="8">
        <f>CHOOSE( CONTROL!$C$29, 5.3277, 5.3235) * CHOOSE(CONTROL!$C$12, $D$11, 100%, $F$11)</f>
        <v>5.3277000000000001</v>
      </c>
      <c r="C178" s="8">
        <f>CHOOSE( CONTROL!$C$29, 5.3382, 5.3339) * CHOOSE(CONTROL!$C$12, $D$11, 100%, $F$11)</f>
        <v>5.3381999999999996</v>
      </c>
      <c r="D178" s="8">
        <f>CHOOSE( CONTROL!$C$29, 5.3105, 5.3062) * CHOOSE( CONTROL!$C$12, $D$11, 100%, $F$11)</f>
        <v>5.3105000000000002</v>
      </c>
      <c r="E178" s="12">
        <f>CHOOSE( CONTROL!$C$29, 5.3189, 5.3147) * CHOOSE( CONTROL!$C$12, $D$11, 100%, $F$11)</f>
        <v>5.3189000000000002</v>
      </c>
      <c r="F178" s="4">
        <f>CHOOSE( CONTROL!$C$29, 6.2922, 6.2879) * CHOOSE(CONTROL!$C$12, $D$11, 100%, $F$11)</f>
        <v>6.2922000000000002</v>
      </c>
      <c r="G178" s="8">
        <f>CHOOSE( CONTROL!$C$29, 5.168, 5.1639) * CHOOSE( CONTROL!$C$12, $D$11, 100%, $F$11)</f>
        <v>5.1680000000000001</v>
      </c>
      <c r="H178" s="4">
        <f>CHOOSE( CONTROL!$C$29, 6.0572, 6.0531) * CHOOSE(CONTROL!$C$12, $D$11, 100%, $F$11)</f>
        <v>6.0571999999999999</v>
      </c>
      <c r="I178" s="8">
        <f>CHOOSE( CONTROL!$C$29, 5.1317, 5.1276) * CHOOSE(CONTROL!$C$12, $D$11, 100%, $F$11)</f>
        <v>5.1317000000000004</v>
      </c>
      <c r="J178" s="4">
        <f>CHOOSE( CONTROL!$C$29, 5.1003, 5.0962) * CHOOSE(CONTROL!$C$12, $D$11, 100%, $F$11)</f>
        <v>5.1002999999999998</v>
      </c>
      <c r="K178" s="4"/>
      <c r="L178" s="9">
        <v>28.568200000000001</v>
      </c>
      <c r="M178" s="9">
        <v>11.6745</v>
      </c>
      <c r="N178" s="9">
        <v>4.7850000000000001</v>
      </c>
      <c r="O178" s="9">
        <v>0.36249999999999999</v>
      </c>
      <c r="P178" s="9">
        <v>1.1798</v>
      </c>
      <c r="Q178" s="9">
        <v>30.501000000000001</v>
      </c>
      <c r="R178" s="9"/>
      <c r="S178" s="11"/>
    </row>
    <row r="179" spans="1:19" ht="15.75">
      <c r="A179" s="13">
        <v>47300</v>
      </c>
      <c r="B179" s="8">
        <f>CHOOSE( CONTROL!$C$29, 5.5566, 5.5523) * CHOOSE(CONTROL!$C$12, $D$11, 100%, $F$11)</f>
        <v>5.5566000000000004</v>
      </c>
      <c r="C179" s="8">
        <f>CHOOSE( CONTROL!$C$29, 5.567, 5.5628) * CHOOSE(CONTROL!$C$12, $D$11, 100%, $F$11)</f>
        <v>5.5670000000000002</v>
      </c>
      <c r="D179" s="8">
        <f>CHOOSE( CONTROL!$C$29, 5.5731, 5.5689) * CHOOSE( CONTROL!$C$12, $D$11, 100%, $F$11)</f>
        <v>5.5731000000000002</v>
      </c>
      <c r="E179" s="12">
        <f>CHOOSE( CONTROL!$C$29, 5.5693, 5.5651) * CHOOSE( CONTROL!$C$12, $D$11, 100%, $F$11)</f>
        <v>5.5693000000000001</v>
      </c>
      <c r="F179" s="4">
        <f>CHOOSE( CONTROL!$C$29, 6.5664, 6.5622) * CHOOSE(CONTROL!$C$12, $D$11, 100%, $F$11)</f>
        <v>6.5663999999999998</v>
      </c>
      <c r="G179" s="8">
        <f>CHOOSE( CONTROL!$C$29, 5.4171, 5.413) * CHOOSE( CONTROL!$C$12, $D$11, 100%, $F$11)</f>
        <v>5.4170999999999996</v>
      </c>
      <c r="H179" s="4">
        <f>CHOOSE( CONTROL!$C$29, 6.3245, 6.3204) * CHOOSE(CONTROL!$C$12, $D$11, 100%, $F$11)</f>
        <v>6.3244999999999996</v>
      </c>
      <c r="I179" s="8">
        <f>CHOOSE( CONTROL!$C$29, 5.4064, 5.4023) * CHOOSE(CONTROL!$C$12, $D$11, 100%, $F$11)</f>
        <v>5.4063999999999997</v>
      </c>
      <c r="J179" s="4">
        <f>CHOOSE( CONTROL!$C$29, 5.3196, 5.3155) * CHOOSE(CONTROL!$C$12, $D$11, 100%, $F$11)</f>
        <v>5.3196000000000003</v>
      </c>
      <c r="K179" s="4"/>
      <c r="L179" s="9">
        <v>29.520499999999998</v>
      </c>
      <c r="M179" s="9">
        <v>12.063700000000001</v>
      </c>
      <c r="N179" s="9">
        <v>4.9444999999999997</v>
      </c>
      <c r="O179" s="9">
        <v>0.37459999999999999</v>
      </c>
      <c r="P179" s="9">
        <v>1.2192000000000001</v>
      </c>
      <c r="Q179" s="9">
        <v>31.517700000000001</v>
      </c>
      <c r="R179" s="9"/>
      <c r="S179" s="11"/>
    </row>
    <row r="180" spans="1:19" ht="15.75">
      <c r="A180" s="13">
        <v>47331</v>
      </c>
      <c r="B180" s="8">
        <f>CHOOSE( CONTROL!$C$29, 5.1284, 5.1241) * CHOOSE(CONTROL!$C$12, $D$11, 100%, $F$11)</f>
        <v>5.1284000000000001</v>
      </c>
      <c r="C180" s="8">
        <f>CHOOSE( CONTROL!$C$29, 5.1388, 5.1346) * CHOOSE(CONTROL!$C$12, $D$11, 100%, $F$11)</f>
        <v>5.1387999999999998</v>
      </c>
      <c r="D180" s="8">
        <f>CHOOSE( CONTROL!$C$29, 5.1614, 5.1571) * CHOOSE( CONTROL!$C$12, $D$11, 100%, $F$11)</f>
        <v>5.1614000000000004</v>
      </c>
      <c r="E180" s="12">
        <f>CHOOSE( CONTROL!$C$29, 5.1516, 5.1473) * CHOOSE( CONTROL!$C$12, $D$11, 100%, $F$11)</f>
        <v>5.1516000000000002</v>
      </c>
      <c r="F180" s="4">
        <f>CHOOSE( CONTROL!$C$29, 6.1669, 6.1627) * CHOOSE(CONTROL!$C$12, $D$11, 100%, $F$11)</f>
        <v>6.1669</v>
      </c>
      <c r="G180" s="8">
        <f>CHOOSE( CONTROL!$C$29, 5.0053, 5.0012) * CHOOSE( CONTROL!$C$12, $D$11, 100%, $F$11)</f>
        <v>5.0053000000000001</v>
      </c>
      <c r="H180" s="4">
        <f>CHOOSE( CONTROL!$C$29, 5.9351, 5.931) * CHOOSE(CONTROL!$C$12, $D$11, 100%, $F$11)</f>
        <v>5.9351000000000003</v>
      </c>
      <c r="I180" s="8">
        <f>CHOOSE( CONTROL!$C$29, 4.9873, 4.9832) * CHOOSE(CONTROL!$C$12, $D$11, 100%, $F$11)</f>
        <v>4.9873000000000003</v>
      </c>
      <c r="J180" s="4">
        <f>CHOOSE( CONTROL!$C$29, 4.9092, 4.9052) * CHOOSE(CONTROL!$C$12, $D$11, 100%, $F$11)</f>
        <v>4.9092000000000002</v>
      </c>
      <c r="K180" s="4"/>
      <c r="L180" s="9">
        <v>29.520499999999998</v>
      </c>
      <c r="M180" s="9">
        <v>12.063700000000001</v>
      </c>
      <c r="N180" s="9">
        <v>4.9444999999999997</v>
      </c>
      <c r="O180" s="9">
        <v>0.37459999999999999</v>
      </c>
      <c r="P180" s="9">
        <v>1.2192000000000001</v>
      </c>
      <c r="Q180" s="9">
        <v>31.517700000000001</v>
      </c>
      <c r="R180" s="9"/>
      <c r="S180" s="11"/>
    </row>
    <row r="181" spans="1:19" ht="15.75">
      <c r="A181" s="13">
        <v>47362</v>
      </c>
      <c r="B181" s="8">
        <f>CHOOSE( CONTROL!$C$29, 5.0211, 5.0169) * CHOOSE(CONTROL!$C$12, $D$11, 100%, $F$11)</f>
        <v>5.0210999999999997</v>
      </c>
      <c r="C181" s="8">
        <f>CHOOSE( CONTROL!$C$29, 5.0316, 5.0273) * CHOOSE(CONTROL!$C$12, $D$11, 100%, $F$11)</f>
        <v>5.0316000000000001</v>
      </c>
      <c r="D181" s="8">
        <f>CHOOSE( CONTROL!$C$29, 5.0541, 5.0499) * CHOOSE( CONTROL!$C$12, $D$11, 100%, $F$11)</f>
        <v>5.0541</v>
      </c>
      <c r="E181" s="12">
        <f>CHOOSE( CONTROL!$C$29, 5.0443, 5.0401) * CHOOSE( CONTROL!$C$12, $D$11, 100%, $F$11)</f>
        <v>5.0442999999999998</v>
      </c>
      <c r="F181" s="4">
        <f>CHOOSE( CONTROL!$C$29, 6.0597, 6.0554) * CHOOSE(CONTROL!$C$12, $D$11, 100%, $F$11)</f>
        <v>6.0597000000000003</v>
      </c>
      <c r="G181" s="8">
        <f>CHOOSE( CONTROL!$C$29, 4.9005, 4.8964) * CHOOSE( CONTROL!$C$12, $D$11, 100%, $F$11)</f>
        <v>4.9005000000000001</v>
      </c>
      <c r="H181" s="4">
        <f>CHOOSE( CONTROL!$C$29, 5.8306, 5.8264) * CHOOSE(CONTROL!$C$12, $D$11, 100%, $F$11)</f>
        <v>5.8305999999999996</v>
      </c>
      <c r="I181" s="8">
        <f>CHOOSE( CONTROL!$C$29, 4.8828, 4.8787) * CHOOSE(CONTROL!$C$12, $D$11, 100%, $F$11)</f>
        <v>4.8827999999999996</v>
      </c>
      <c r="J181" s="4">
        <f>CHOOSE( CONTROL!$C$29, 4.8065, 4.8024) * CHOOSE(CONTROL!$C$12, $D$11, 100%, $F$11)</f>
        <v>4.8064999999999998</v>
      </c>
      <c r="K181" s="4"/>
      <c r="L181" s="9">
        <v>28.568200000000001</v>
      </c>
      <c r="M181" s="9">
        <v>11.6745</v>
      </c>
      <c r="N181" s="9">
        <v>4.7850000000000001</v>
      </c>
      <c r="O181" s="9">
        <v>0.36249999999999999</v>
      </c>
      <c r="P181" s="9">
        <v>1.1798</v>
      </c>
      <c r="Q181" s="9">
        <v>30.501000000000001</v>
      </c>
      <c r="R181" s="9"/>
      <c r="S181" s="11"/>
    </row>
    <row r="182" spans="1:19" ht="15.75">
      <c r="A182" s="13">
        <v>47392</v>
      </c>
      <c r="B182" s="8">
        <f>5.2395 * CHOOSE(CONTROL!$C$12, $D$11, 100%, $F$11)</f>
        <v>5.2394999999999996</v>
      </c>
      <c r="C182" s="8">
        <f>5.25 * CHOOSE(CONTROL!$C$12, $D$11, 100%, $F$11)</f>
        <v>5.25</v>
      </c>
      <c r="D182" s="8">
        <f>5.2544 * CHOOSE( CONTROL!$C$12, $D$11, 100%, $F$11)</f>
        <v>5.2544000000000004</v>
      </c>
      <c r="E182" s="12">
        <f>5.2518 * CHOOSE( CONTROL!$C$12, $D$11, 100%, $F$11)</f>
        <v>5.2518000000000002</v>
      </c>
      <c r="F182" s="4">
        <f>6.2468 * CHOOSE(CONTROL!$C$12, $D$11, 100%, $F$11)</f>
        <v>6.2468000000000004</v>
      </c>
      <c r="G182" s="8">
        <f>5.1037 * CHOOSE( CONTROL!$C$12, $D$11, 100%, $F$11)</f>
        <v>5.1036999999999999</v>
      </c>
      <c r="H182" s="4">
        <f>6.0129 * CHOOSE(CONTROL!$C$12, $D$11, 100%, $F$11)</f>
        <v>6.0129000000000001</v>
      </c>
      <c r="I182" s="8">
        <f>5.0888 * CHOOSE(CONTROL!$C$12, $D$11, 100%, $F$11)</f>
        <v>5.0888</v>
      </c>
      <c r="J182" s="4">
        <f>5.0158 * CHOOSE(CONTROL!$C$12, $D$11, 100%, $F$11)</f>
        <v>5.0157999999999996</v>
      </c>
      <c r="K182" s="4"/>
      <c r="L182" s="9">
        <v>28.921800000000001</v>
      </c>
      <c r="M182" s="9">
        <v>12.063700000000001</v>
      </c>
      <c r="N182" s="9">
        <v>4.9444999999999997</v>
      </c>
      <c r="O182" s="9">
        <v>0.37459999999999999</v>
      </c>
      <c r="P182" s="9">
        <v>1.2192000000000001</v>
      </c>
      <c r="Q182" s="9">
        <v>31.517700000000001</v>
      </c>
      <c r="R182" s="9"/>
      <c r="S182" s="11"/>
    </row>
    <row r="183" spans="1:19" ht="15.75">
      <c r="A183" s="13">
        <v>47423</v>
      </c>
      <c r="B183" s="8">
        <f>5.6505 * CHOOSE(CONTROL!$C$12, $D$11, 100%, $F$11)</f>
        <v>5.6505000000000001</v>
      </c>
      <c r="C183" s="8">
        <f>5.6609 * CHOOSE(CONTROL!$C$12, $D$11, 100%, $F$11)</f>
        <v>5.6608999999999998</v>
      </c>
      <c r="D183" s="8">
        <f>5.6433 * CHOOSE( CONTROL!$C$12, $D$11, 100%, $F$11)</f>
        <v>5.6433</v>
      </c>
      <c r="E183" s="12">
        <f>5.6486 * CHOOSE( CONTROL!$C$12, $D$11, 100%, $F$11)</f>
        <v>5.6486000000000001</v>
      </c>
      <c r="F183" s="4">
        <f>6.6447 * CHOOSE(CONTROL!$C$12, $D$11, 100%, $F$11)</f>
        <v>6.6447000000000003</v>
      </c>
      <c r="G183" s="8">
        <f>5.5167 * CHOOSE( CONTROL!$C$12, $D$11, 100%, $F$11)</f>
        <v>5.5167000000000002</v>
      </c>
      <c r="H183" s="4">
        <f>6.4008 * CHOOSE(CONTROL!$C$12, $D$11, 100%, $F$11)</f>
        <v>6.4008000000000003</v>
      </c>
      <c r="I183" s="8">
        <f>5.5062 * CHOOSE(CONTROL!$C$12, $D$11, 100%, $F$11)</f>
        <v>5.5061999999999998</v>
      </c>
      <c r="J183" s="4">
        <f>5.4095 * CHOOSE(CONTROL!$C$12, $D$11, 100%, $F$11)</f>
        <v>5.4095000000000004</v>
      </c>
      <c r="K183" s="4"/>
      <c r="L183" s="9">
        <v>26.515499999999999</v>
      </c>
      <c r="M183" s="9">
        <v>11.6745</v>
      </c>
      <c r="N183" s="9">
        <v>4.7850000000000001</v>
      </c>
      <c r="O183" s="9">
        <v>0.36249999999999999</v>
      </c>
      <c r="P183" s="9">
        <v>1.2522</v>
      </c>
      <c r="Q183" s="9">
        <v>30.501000000000001</v>
      </c>
      <c r="R183" s="9"/>
      <c r="S183" s="11"/>
    </row>
    <row r="184" spans="1:19" ht="15.75">
      <c r="A184" s="13">
        <v>47453</v>
      </c>
      <c r="B184" s="8">
        <f>5.6402 * CHOOSE(CONTROL!$C$12, $D$11, 100%, $F$11)</f>
        <v>5.6402000000000001</v>
      </c>
      <c r="C184" s="8">
        <f>5.6507 * CHOOSE(CONTROL!$C$12, $D$11, 100%, $F$11)</f>
        <v>5.6506999999999996</v>
      </c>
      <c r="D184" s="8">
        <f>5.6351 * CHOOSE( CONTROL!$C$12, $D$11, 100%, $F$11)</f>
        <v>5.6351000000000004</v>
      </c>
      <c r="E184" s="12">
        <f>5.6397 * CHOOSE( CONTROL!$C$12, $D$11, 100%, $F$11)</f>
        <v>5.6397000000000004</v>
      </c>
      <c r="F184" s="4">
        <f>6.6344 * CHOOSE(CONTROL!$C$12, $D$11, 100%, $F$11)</f>
        <v>6.6344000000000003</v>
      </c>
      <c r="G184" s="8">
        <f>5.5083 * CHOOSE( CONTROL!$C$12, $D$11, 100%, $F$11)</f>
        <v>5.5083000000000002</v>
      </c>
      <c r="H184" s="4">
        <f>6.3908 * CHOOSE(CONTROL!$C$12, $D$11, 100%, $F$11)</f>
        <v>6.3907999999999996</v>
      </c>
      <c r="I184" s="8">
        <f>5.5036 * CHOOSE(CONTROL!$C$12, $D$11, 100%, $F$11)</f>
        <v>5.5035999999999996</v>
      </c>
      <c r="J184" s="4">
        <f>5.3997 * CHOOSE(CONTROL!$C$12, $D$11, 100%, $F$11)</f>
        <v>5.3997000000000002</v>
      </c>
      <c r="K184" s="4"/>
      <c r="L184" s="9">
        <v>27.3993</v>
      </c>
      <c r="M184" s="9">
        <v>12.063700000000001</v>
      </c>
      <c r="N184" s="9">
        <v>4.9444999999999997</v>
      </c>
      <c r="O184" s="9">
        <v>0.37459999999999999</v>
      </c>
      <c r="P184" s="9">
        <v>1.2939000000000001</v>
      </c>
      <c r="Q184" s="9">
        <v>31.517700000000001</v>
      </c>
      <c r="R184" s="9"/>
      <c r="S184" s="11"/>
    </row>
    <row r="185" spans="1:19" ht="15.75">
      <c r="A185" s="13">
        <v>47484</v>
      </c>
      <c r="B185" s="8">
        <f>5.7836 * CHOOSE(CONTROL!$C$12, $D$11, 100%, $F$11)</f>
        <v>5.7835999999999999</v>
      </c>
      <c r="C185" s="8">
        <f>5.7941 * CHOOSE(CONTROL!$C$12, $D$11, 100%, $F$11)</f>
        <v>5.7941000000000003</v>
      </c>
      <c r="D185" s="8">
        <f>5.7917 * CHOOSE( CONTROL!$C$12, $D$11, 100%, $F$11)</f>
        <v>5.7916999999999996</v>
      </c>
      <c r="E185" s="12">
        <f>5.7915 * CHOOSE( CONTROL!$C$12, $D$11, 100%, $F$11)</f>
        <v>5.7915000000000001</v>
      </c>
      <c r="F185" s="4">
        <f>6.8065 * CHOOSE(CONTROL!$C$12, $D$11, 100%, $F$11)</f>
        <v>6.8064999999999998</v>
      </c>
      <c r="G185" s="8">
        <f>5.6652 * CHOOSE( CONTROL!$C$12, $D$11, 100%, $F$11)</f>
        <v>5.6651999999999996</v>
      </c>
      <c r="H185" s="4">
        <f>6.5586 * CHOOSE(CONTROL!$C$12, $D$11, 100%, $F$11)</f>
        <v>6.5586000000000002</v>
      </c>
      <c r="I185" s="8">
        <f>5.6485 * CHOOSE(CONTROL!$C$12, $D$11, 100%, $F$11)</f>
        <v>5.6485000000000003</v>
      </c>
      <c r="J185" s="4">
        <f>5.5371 * CHOOSE(CONTROL!$C$12, $D$11, 100%, $F$11)</f>
        <v>5.5370999999999997</v>
      </c>
      <c r="K185" s="4"/>
      <c r="L185" s="9">
        <v>27.3993</v>
      </c>
      <c r="M185" s="9">
        <v>12.063700000000001</v>
      </c>
      <c r="N185" s="9">
        <v>4.9444999999999997</v>
      </c>
      <c r="O185" s="9">
        <v>0.37459999999999999</v>
      </c>
      <c r="P185" s="9">
        <v>1.2939000000000001</v>
      </c>
      <c r="Q185" s="9">
        <v>31.333600000000001</v>
      </c>
      <c r="R185" s="9"/>
      <c r="S185" s="11"/>
    </row>
    <row r="186" spans="1:19" ht="15.75">
      <c r="A186" s="13">
        <v>47515</v>
      </c>
      <c r="B186" s="8">
        <f>5.41 * CHOOSE(CONTROL!$C$12, $D$11, 100%, $F$11)</f>
        <v>5.41</v>
      </c>
      <c r="C186" s="8">
        <f>5.4205 * CHOOSE(CONTROL!$C$12, $D$11, 100%, $F$11)</f>
        <v>5.4204999999999997</v>
      </c>
      <c r="D186" s="8">
        <f>5.4204 * CHOOSE( CONTROL!$C$12, $D$11, 100%, $F$11)</f>
        <v>5.4203999999999999</v>
      </c>
      <c r="E186" s="12">
        <f>5.4193 * CHOOSE( CONTROL!$C$12, $D$11, 100%, $F$11)</f>
        <v>5.4192999999999998</v>
      </c>
      <c r="F186" s="4">
        <f>6.4251 * CHOOSE(CONTROL!$C$12, $D$11, 100%, $F$11)</f>
        <v>6.4250999999999996</v>
      </c>
      <c r="G186" s="8">
        <f>5.3009 * CHOOSE( CONTROL!$C$12, $D$11, 100%, $F$11)</f>
        <v>5.3009000000000004</v>
      </c>
      <c r="H186" s="4">
        <f>6.1868 * CHOOSE(CONTROL!$C$12, $D$11, 100%, $F$11)</f>
        <v>6.1867999999999999</v>
      </c>
      <c r="I186" s="8">
        <f>5.2794 * CHOOSE(CONTROL!$C$12, $D$11, 100%, $F$11)</f>
        <v>5.2793999999999999</v>
      </c>
      <c r="J186" s="4">
        <f>5.1792 * CHOOSE(CONTROL!$C$12, $D$11, 100%, $F$11)</f>
        <v>5.1791999999999998</v>
      </c>
      <c r="K186" s="4"/>
      <c r="L186" s="9">
        <v>24.747800000000002</v>
      </c>
      <c r="M186" s="9">
        <v>10.8962</v>
      </c>
      <c r="N186" s="9">
        <v>4.4660000000000002</v>
      </c>
      <c r="O186" s="9">
        <v>0.33829999999999999</v>
      </c>
      <c r="P186" s="9">
        <v>1.1687000000000001</v>
      </c>
      <c r="Q186" s="9">
        <v>28.301300000000001</v>
      </c>
      <c r="R186" s="9"/>
      <c r="S186" s="11"/>
    </row>
    <row r="187" spans="1:19" ht="15.75">
      <c r="A187" s="13">
        <v>47543</v>
      </c>
      <c r="B187" s="8">
        <f>5.295 * CHOOSE(CONTROL!$C$12, $D$11, 100%, $F$11)</f>
        <v>5.2949999999999999</v>
      </c>
      <c r="C187" s="8">
        <f>5.3054 * CHOOSE(CONTROL!$C$12, $D$11, 100%, $F$11)</f>
        <v>5.3053999999999997</v>
      </c>
      <c r="D187" s="8">
        <f>5.2853 * CHOOSE( CONTROL!$C$12, $D$11, 100%, $F$11)</f>
        <v>5.2853000000000003</v>
      </c>
      <c r="E187" s="12">
        <f>5.2915 * CHOOSE( CONTROL!$C$12, $D$11, 100%, $F$11)</f>
        <v>5.2915000000000001</v>
      </c>
      <c r="F187" s="4">
        <f>6.2939 * CHOOSE(CONTROL!$C$12, $D$11, 100%, $F$11)</f>
        <v>6.2938999999999998</v>
      </c>
      <c r="G187" s="8">
        <f>5.1683 * CHOOSE( CONTROL!$C$12, $D$11, 100%, $F$11)</f>
        <v>5.1683000000000003</v>
      </c>
      <c r="H187" s="4">
        <f>6.0589 * CHOOSE(CONTROL!$C$12, $D$11, 100%, $F$11)</f>
        <v>6.0589000000000004</v>
      </c>
      <c r="I187" s="8">
        <f>5.1296 * CHOOSE(CONTROL!$C$12, $D$11, 100%, $F$11)</f>
        <v>5.1295999999999999</v>
      </c>
      <c r="J187" s="4">
        <f>5.0689 * CHOOSE(CONTROL!$C$12, $D$11, 100%, $F$11)</f>
        <v>5.0689000000000002</v>
      </c>
      <c r="K187" s="4"/>
      <c r="L187" s="9">
        <v>27.3993</v>
      </c>
      <c r="M187" s="9">
        <v>12.063700000000001</v>
      </c>
      <c r="N187" s="9">
        <v>4.9444999999999997</v>
      </c>
      <c r="O187" s="9">
        <v>0.37459999999999999</v>
      </c>
      <c r="P187" s="9">
        <v>1.2939000000000001</v>
      </c>
      <c r="Q187" s="9">
        <v>31.333600000000001</v>
      </c>
      <c r="R187" s="9"/>
      <c r="S187" s="11"/>
    </row>
    <row r="188" spans="1:19" ht="15.75">
      <c r="A188" s="13">
        <v>47574</v>
      </c>
      <c r="B188" s="8">
        <f>5.3754 * CHOOSE(CONTROL!$C$12, $D$11, 100%, $F$11)</f>
        <v>5.3754</v>
      </c>
      <c r="C188" s="8">
        <f>5.3858 * CHOOSE(CONTROL!$C$12, $D$11, 100%, $F$11)</f>
        <v>5.3857999999999997</v>
      </c>
      <c r="D188" s="8">
        <f>5.389 * CHOOSE( CONTROL!$C$12, $D$11, 100%, $F$11)</f>
        <v>5.3890000000000002</v>
      </c>
      <c r="E188" s="12">
        <f>5.3868 * CHOOSE( CONTROL!$C$12, $D$11, 100%, $F$11)</f>
        <v>5.3868</v>
      </c>
      <c r="F188" s="4">
        <f>6.3826 * CHOOSE(CONTROL!$C$12, $D$11, 100%, $F$11)</f>
        <v>6.3826000000000001</v>
      </c>
      <c r="G188" s="8">
        <f>5.2345 * CHOOSE( CONTROL!$C$12, $D$11, 100%, $F$11)</f>
        <v>5.2344999999999997</v>
      </c>
      <c r="H188" s="4">
        <f>6.1454 * CHOOSE(CONTROL!$C$12, $D$11, 100%, $F$11)</f>
        <v>6.1454000000000004</v>
      </c>
      <c r="I188" s="8">
        <f>5.1968 * CHOOSE(CONTROL!$C$12, $D$11, 100%, $F$11)</f>
        <v>5.1967999999999996</v>
      </c>
      <c r="J188" s="4">
        <f>5.1459 * CHOOSE(CONTROL!$C$12, $D$11, 100%, $F$11)</f>
        <v>5.1459000000000001</v>
      </c>
      <c r="K188" s="4"/>
      <c r="L188" s="9">
        <v>27.988800000000001</v>
      </c>
      <c r="M188" s="9">
        <v>11.6745</v>
      </c>
      <c r="N188" s="9">
        <v>4.7850000000000001</v>
      </c>
      <c r="O188" s="9">
        <v>0.36249999999999999</v>
      </c>
      <c r="P188" s="9">
        <v>1.1798</v>
      </c>
      <c r="Q188" s="9">
        <v>30.322800000000001</v>
      </c>
      <c r="R188" s="9"/>
      <c r="S188" s="11"/>
    </row>
    <row r="189" spans="1:19" ht="15.75">
      <c r="A189" s="13">
        <v>47604</v>
      </c>
      <c r="B189" s="8">
        <f>CHOOSE( CONTROL!$C$29, 5.5227, 5.5185) * CHOOSE(CONTROL!$C$12, $D$11, 100%, $F$11)</f>
        <v>5.5227000000000004</v>
      </c>
      <c r="C189" s="8">
        <f>CHOOSE( CONTROL!$C$29, 5.5332, 5.5289) * CHOOSE(CONTROL!$C$12, $D$11, 100%, $F$11)</f>
        <v>5.5331999999999999</v>
      </c>
      <c r="D189" s="8">
        <f>CHOOSE( CONTROL!$C$29, 5.5111, 5.5068) * CHOOSE( CONTROL!$C$12, $D$11, 100%, $F$11)</f>
        <v>5.5110999999999999</v>
      </c>
      <c r="E189" s="12">
        <f>CHOOSE( CONTROL!$C$29, 5.5175, 5.5132) * CHOOSE( CONTROL!$C$12, $D$11, 100%, $F$11)</f>
        <v>5.5175000000000001</v>
      </c>
      <c r="F189" s="4">
        <f>CHOOSE( CONTROL!$C$29, 6.4976, 6.4934) * CHOOSE(CONTROL!$C$12, $D$11, 100%, $F$11)</f>
        <v>6.4976000000000003</v>
      </c>
      <c r="G189" s="8">
        <f>CHOOSE( CONTROL!$C$29, 5.3594, 5.3552) * CHOOSE( CONTROL!$C$12, $D$11, 100%, $F$11)</f>
        <v>5.3593999999999999</v>
      </c>
      <c r="H189" s="4">
        <f>CHOOSE( CONTROL!$C$29, 6.2575, 6.2533) * CHOOSE(CONTROL!$C$12, $D$11, 100%, $F$11)</f>
        <v>6.2575000000000003</v>
      </c>
      <c r="I189" s="8">
        <f>CHOOSE( CONTROL!$C$29, 5.3165, 5.3124) * CHOOSE(CONTROL!$C$12, $D$11, 100%, $F$11)</f>
        <v>5.3164999999999996</v>
      </c>
      <c r="J189" s="4">
        <f>CHOOSE( CONTROL!$C$29, 5.2871, 5.2831) * CHOOSE(CONTROL!$C$12, $D$11, 100%, $F$11)</f>
        <v>5.2870999999999997</v>
      </c>
      <c r="K189" s="4"/>
      <c r="L189" s="9">
        <v>29.520499999999998</v>
      </c>
      <c r="M189" s="9">
        <v>12.063700000000001</v>
      </c>
      <c r="N189" s="9">
        <v>4.9444999999999997</v>
      </c>
      <c r="O189" s="9">
        <v>0.37459999999999999</v>
      </c>
      <c r="P189" s="9">
        <v>1.2192000000000001</v>
      </c>
      <c r="Q189" s="9">
        <v>31.333600000000001</v>
      </c>
      <c r="R189" s="9"/>
      <c r="S189" s="11"/>
    </row>
    <row r="190" spans="1:19" ht="15.75">
      <c r="A190" s="13">
        <v>47635</v>
      </c>
      <c r="B190" s="8">
        <f>CHOOSE( CONTROL!$C$29, 5.4341, 5.4298) * CHOOSE(CONTROL!$C$12, $D$11, 100%, $F$11)</f>
        <v>5.4340999999999999</v>
      </c>
      <c r="C190" s="8">
        <f>CHOOSE( CONTROL!$C$29, 5.4445, 5.4403) * CHOOSE(CONTROL!$C$12, $D$11, 100%, $F$11)</f>
        <v>5.4444999999999997</v>
      </c>
      <c r="D190" s="8">
        <f>CHOOSE( CONTROL!$C$29, 5.4169, 5.4126) * CHOOSE( CONTROL!$C$12, $D$11, 100%, $F$11)</f>
        <v>5.4169</v>
      </c>
      <c r="E190" s="12">
        <f>CHOOSE( CONTROL!$C$29, 5.4253, 5.421) * CHOOSE( CONTROL!$C$12, $D$11, 100%, $F$11)</f>
        <v>5.4253</v>
      </c>
      <c r="F190" s="4">
        <f>CHOOSE( CONTROL!$C$29, 6.3986, 6.3943) * CHOOSE(CONTROL!$C$12, $D$11, 100%, $F$11)</f>
        <v>6.3986000000000001</v>
      </c>
      <c r="G190" s="8">
        <f>CHOOSE( CONTROL!$C$29, 5.2717, 5.2676) * CHOOSE( CONTROL!$C$12, $D$11, 100%, $F$11)</f>
        <v>5.2717000000000001</v>
      </c>
      <c r="H190" s="4">
        <f>CHOOSE( CONTROL!$C$29, 6.1609, 6.1567) * CHOOSE(CONTROL!$C$12, $D$11, 100%, $F$11)</f>
        <v>6.1608999999999998</v>
      </c>
      <c r="I190" s="8">
        <f>CHOOSE( CONTROL!$C$29, 5.2336, 5.2296) * CHOOSE(CONTROL!$C$12, $D$11, 100%, $F$11)</f>
        <v>5.2336</v>
      </c>
      <c r="J190" s="4">
        <f>CHOOSE( CONTROL!$C$29, 5.2022, 5.1981) * CHOOSE(CONTROL!$C$12, $D$11, 100%, $F$11)</f>
        <v>5.2022000000000004</v>
      </c>
      <c r="K190" s="4"/>
      <c r="L190" s="9">
        <v>28.568200000000001</v>
      </c>
      <c r="M190" s="9">
        <v>11.6745</v>
      </c>
      <c r="N190" s="9">
        <v>4.7850000000000001</v>
      </c>
      <c r="O190" s="9">
        <v>0.36249999999999999</v>
      </c>
      <c r="P190" s="9">
        <v>1.1798</v>
      </c>
      <c r="Q190" s="9">
        <v>30.322800000000001</v>
      </c>
      <c r="R190" s="9"/>
      <c r="S190" s="11"/>
    </row>
    <row r="191" spans="1:19" ht="15.75">
      <c r="A191" s="13">
        <v>47665</v>
      </c>
      <c r="B191" s="8">
        <f>CHOOSE( CONTROL!$C$29, 5.6675, 5.6633) * CHOOSE(CONTROL!$C$12, $D$11, 100%, $F$11)</f>
        <v>5.6675000000000004</v>
      </c>
      <c r="C191" s="8">
        <f>CHOOSE( CONTROL!$C$29, 5.678, 5.6737) * CHOOSE(CONTROL!$C$12, $D$11, 100%, $F$11)</f>
        <v>5.6779999999999999</v>
      </c>
      <c r="D191" s="8">
        <f>CHOOSE( CONTROL!$C$29, 5.6841, 5.6798) * CHOOSE( CONTROL!$C$12, $D$11, 100%, $F$11)</f>
        <v>5.6840999999999999</v>
      </c>
      <c r="E191" s="12">
        <f>CHOOSE( CONTROL!$C$29, 5.6803, 5.676) * CHOOSE( CONTROL!$C$12, $D$11, 100%, $F$11)</f>
        <v>5.6802999999999999</v>
      </c>
      <c r="F191" s="4">
        <f>CHOOSE( CONTROL!$C$29, 6.6774, 6.6731) * CHOOSE(CONTROL!$C$12, $D$11, 100%, $F$11)</f>
        <v>6.6773999999999996</v>
      </c>
      <c r="G191" s="8">
        <f>CHOOSE( CONTROL!$C$29, 5.5253, 5.5211) * CHOOSE( CONTROL!$C$12, $D$11, 100%, $F$11)</f>
        <v>5.5252999999999997</v>
      </c>
      <c r="H191" s="4">
        <f>CHOOSE( CONTROL!$C$29, 6.4327, 6.4285) * CHOOSE(CONTROL!$C$12, $D$11, 100%, $F$11)</f>
        <v>6.4326999999999996</v>
      </c>
      <c r="I191" s="8">
        <f>CHOOSE( CONTROL!$C$29, 5.5127, 5.5087) * CHOOSE(CONTROL!$C$12, $D$11, 100%, $F$11)</f>
        <v>5.5126999999999997</v>
      </c>
      <c r="J191" s="4">
        <f>CHOOSE( CONTROL!$C$29, 5.4259, 5.4218) * CHOOSE(CONTROL!$C$12, $D$11, 100%, $F$11)</f>
        <v>5.4259000000000004</v>
      </c>
      <c r="K191" s="4"/>
      <c r="L191" s="9">
        <v>29.520499999999998</v>
      </c>
      <c r="M191" s="9">
        <v>12.063700000000001</v>
      </c>
      <c r="N191" s="9">
        <v>4.9444999999999997</v>
      </c>
      <c r="O191" s="9">
        <v>0.37459999999999999</v>
      </c>
      <c r="P191" s="9">
        <v>1.2192000000000001</v>
      </c>
      <c r="Q191" s="9">
        <v>31.333600000000001</v>
      </c>
      <c r="R191" s="9"/>
      <c r="S191" s="11"/>
    </row>
    <row r="192" spans="1:19" ht="15.75">
      <c r="A192" s="13">
        <v>47696</v>
      </c>
      <c r="B192" s="8">
        <f>CHOOSE( CONTROL!$C$29, 5.2307, 5.2265) * CHOOSE(CONTROL!$C$12, $D$11, 100%, $F$11)</f>
        <v>5.2306999999999997</v>
      </c>
      <c r="C192" s="8">
        <f>CHOOSE( CONTROL!$C$29, 5.2412, 5.2369) * CHOOSE(CONTROL!$C$12, $D$11, 100%, $F$11)</f>
        <v>5.2412000000000001</v>
      </c>
      <c r="D192" s="8">
        <f>CHOOSE( CONTROL!$C$29, 5.2638, 5.2595) * CHOOSE( CONTROL!$C$12, $D$11, 100%, $F$11)</f>
        <v>5.2637999999999998</v>
      </c>
      <c r="E192" s="12">
        <f>CHOOSE( CONTROL!$C$29, 5.254, 5.2497) * CHOOSE( CONTROL!$C$12, $D$11, 100%, $F$11)</f>
        <v>5.2539999999999996</v>
      </c>
      <c r="F192" s="4">
        <f>CHOOSE( CONTROL!$C$29, 6.2693, 6.2651) * CHOOSE(CONTROL!$C$12, $D$11, 100%, $F$11)</f>
        <v>6.2693000000000003</v>
      </c>
      <c r="G192" s="8">
        <f>CHOOSE( CONTROL!$C$29, 5.1051, 5.101) * CHOOSE( CONTROL!$C$12, $D$11, 100%, $F$11)</f>
        <v>5.1051000000000002</v>
      </c>
      <c r="H192" s="4">
        <f>CHOOSE( CONTROL!$C$29, 6.0349, 6.0308) * CHOOSE(CONTROL!$C$12, $D$11, 100%, $F$11)</f>
        <v>6.0349000000000004</v>
      </c>
      <c r="I192" s="8">
        <f>CHOOSE( CONTROL!$C$29, 5.0855, 5.0814) * CHOOSE(CONTROL!$C$12, $D$11, 100%, $F$11)</f>
        <v>5.0854999999999997</v>
      </c>
      <c r="J192" s="4">
        <f>CHOOSE( CONTROL!$C$29, 5.0073, 5.0033) * CHOOSE(CONTROL!$C$12, $D$11, 100%, $F$11)</f>
        <v>5.0072999999999999</v>
      </c>
      <c r="K192" s="4"/>
      <c r="L192" s="9">
        <v>29.520499999999998</v>
      </c>
      <c r="M192" s="9">
        <v>12.063700000000001</v>
      </c>
      <c r="N192" s="9">
        <v>4.9444999999999997</v>
      </c>
      <c r="O192" s="9">
        <v>0.37459999999999999</v>
      </c>
      <c r="P192" s="9">
        <v>1.2192000000000001</v>
      </c>
      <c r="Q192" s="9">
        <v>31.333600000000001</v>
      </c>
      <c r="R192" s="9"/>
      <c r="S192" s="11"/>
    </row>
    <row r="193" spans="1:19" ht="15.75">
      <c r="A193" s="13">
        <v>47727</v>
      </c>
      <c r="B193" s="8">
        <f>CHOOSE( CONTROL!$C$29, 5.1214, 5.1171) * CHOOSE(CONTROL!$C$12, $D$11, 100%, $F$11)</f>
        <v>5.1214000000000004</v>
      </c>
      <c r="C193" s="8">
        <f>CHOOSE( CONTROL!$C$29, 5.1318, 5.1276) * CHOOSE(CONTROL!$C$12, $D$11, 100%, $F$11)</f>
        <v>5.1318000000000001</v>
      </c>
      <c r="D193" s="8">
        <f>CHOOSE( CONTROL!$C$29, 5.1544, 5.1501) * CHOOSE( CONTROL!$C$12, $D$11, 100%, $F$11)</f>
        <v>5.1543999999999999</v>
      </c>
      <c r="E193" s="12">
        <f>CHOOSE( CONTROL!$C$29, 5.1446, 5.1403) * CHOOSE( CONTROL!$C$12, $D$11, 100%, $F$11)</f>
        <v>5.1445999999999996</v>
      </c>
      <c r="F193" s="4">
        <f>CHOOSE( CONTROL!$C$29, 6.1599, 6.1557) * CHOOSE(CONTROL!$C$12, $D$11, 100%, $F$11)</f>
        <v>6.1599000000000004</v>
      </c>
      <c r="G193" s="8">
        <f>CHOOSE( CONTROL!$C$29, 4.9982, 4.9941) * CHOOSE( CONTROL!$C$12, $D$11, 100%, $F$11)</f>
        <v>4.9981999999999998</v>
      </c>
      <c r="H193" s="4">
        <f>CHOOSE( CONTROL!$C$29, 5.9283, 5.9241) * CHOOSE(CONTROL!$C$12, $D$11, 100%, $F$11)</f>
        <v>5.9283000000000001</v>
      </c>
      <c r="I193" s="8">
        <f>CHOOSE( CONTROL!$C$29, 4.9789, 4.9748) * CHOOSE(CONTROL!$C$12, $D$11, 100%, $F$11)</f>
        <v>4.9789000000000003</v>
      </c>
      <c r="J193" s="4">
        <f>CHOOSE( CONTROL!$C$29, 4.9025, 4.8985) * CHOOSE(CONTROL!$C$12, $D$11, 100%, $F$11)</f>
        <v>4.9024999999999999</v>
      </c>
      <c r="K193" s="4"/>
      <c r="L193" s="9">
        <v>28.568200000000001</v>
      </c>
      <c r="M193" s="9">
        <v>11.6745</v>
      </c>
      <c r="N193" s="9">
        <v>4.7850000000000001</v>
      </c>
      <c r="O193" s="9">
        <v>0.36249999999999999</v>
      </c>
      <c r="P193" s="9">
        <v>1.1798</v>
      </c>
      <c r="Q193" s="9">
        <v>30.322800000000001</v>
      </c>
      <c r="R193" s="9"/>
      <c r="S193" s="11"/>
    </row>
    <row r="194" spans="1:19" ht="15.75">
      <c r="A194" s="13">
        <v>47757</v>
      </c>
      <c r="B194" s="8">
        <f>5.3442 * CHOOSE(CONTROL!$C$12, $D$11, 100%, $F$11)</f>
        <v>5.3441999999999998</v>
      </c>
      <c r="C194" s="8">
        <f>5.3547 * CHOOSE(CONTROL!$C$12, $D$11, 100%, $F$11)</f>
        <v>5.3547000000000002</v>
      </c>
      <c r="D194" s="8">
        <f>5.3591 * CHOOSE( CONTROL!$C$12, $D$11, 100%, $F$11)</f>
        <v>5.3590999999999998</v>
      </c>
      <c r="E194" s="12">
        <f>5.3565 * CHOOSE( CONTROL!$C$12, $D$11, 100%, $F$11)</f>
        <v>5.3564999999999996</v>
      </c>
      <c r="F194" s="4">
        <f>6.3515 * CHOOSE(CONTROL!$C$12, $D$11, 100%, $F$11)</f>
        <v>6.3514999999999997</v>
      </c>
      <c r="G194" s="8">
        <f>5.2057 * CHOOSE( CONTROL!$C$12, $D$11, 100%, $F$11)</f>
        <v>5.2057000000000002</v>
      </c>
      <c r="H194" s="4">
        <f>6.115 * CHOOSE(CONTROL!$C$12, $D$11, 100%, $F$11)</f>
        <v>6.1150000000000002</v>
      </c>
      <c r="I194" s="8">
        <f>5.1892 * CHOOSE(CONTROL!$C$12, $D$11, 100%, $F$11)</f>
        <v>5.1891999999999996</v>
      </c>
      <c r="J194" s="4">
        <f>5.1161 * CHOOSE(CONTROL!$C$12, $D$11, 100%, $F$11)</f>
        <v>5.1161000000000003</v>
      </c>
      <c r="K194" s="4"/>
      <c r="L194" s="9">
        <v>28.921800000000001</v>
      </c>
      <c r="M194" s="9">
        <v>12.063700000000001</v>
      </c>
      <c r="N194" s="9">
        <v>4.9444999999999997</v>
      </c>
      <c r="O194" s="9">
        <v>0.37459999999999999</v>
      </c>
      <c r="P194" s="9">
        <v>1.2192000000000001</v>
      </c>
      <c r="Q194" s="9">
        <v>31.333600000000001</v>
      </c>
      <c r="R194" s="9"/>
      <c r="S194" s="11"/>
    </row>
    <row r="195" spans="1:19" ht="15.75">
      <c r="A195" s="13">
        <v>47788</v>
      </c>
      <c r="B195" s="8">
        <f>5.7634 * CHOOSE(CONTROL!$C$12, $D$11, 100%, $F$11)</f>
        <v>5.7633999999999999</v>
      </c>
      <c r="C195" s="8">
        <f>5.7738 * CHOOSE(CONTROL!$C$12, $D$11, 100%, $F$11)</f>
        <v>5.7737999999999996</v>
      </c>
      <c r="D195" s="8">
        <f>5.7562 * CHOOSE( CONTROL!$C$12, $D$11, 100%, $F$11)</f>
        <v>5.7561999999999998</v>
      </c>
      <c r="E195" s="12">
        <f>5.7615 * CHOOSE( CONTROL!$C$12, $D$11, 100%, $F$11)</f>
        <v>5.7614999999999998</v>
      </c>
      <c r="F195" s="4">
        <f>6.7576 * CHOOSE(CONTROL!$C$12, $D$11, 100%, $F$11)</f>
        <v>6.7576000000000001</v>
      </c>
      <c r="G195" s="8">
        <f>5.6268 * CHOOSE( CONTROL!$C$12, $D$11, 100%, $F$11)</f>
        <v>5.6268000000000002</v>
      </c>
      <c r="H195" s="4">
        <f>6.5109 * CHOOSE(CONTROL!$C$12, $D$11, 100%, $F$11)</f>
        <v>6.5109000000000004</v>
      </c>
      <c r="I195" s="8">
        <f>5.6145 * CHOOSE(CONTROL!$C$12, $D$11, 100%, $F$11)</f>
        <v>5.6144999999999996</v>
      </c>
      <c r="J195" s="4">
        <f>5.5177 * CHOOSE(CONTROL!$C$12, $D$11, 100%, $F$11)</f>
        <v>5.5176999999999996</v>
      </c>
      <c r="K195" s="4"/>
      <c r="L195" s="9">
        <v>26.515499999999999</v>
      </c>
      <c r="M195" s="9">
        <v>11.6745</v>
      </c>
      <c r="N195" s="9">
        <v>4.7850000000000001</v>
      </c>
      <c r="O195" s="9">
        <v>0.36249999999999999</v>
      </c>
      <c r="P195" s="9">
        <v>1.2522</v>
      </c>
      <c r="Q195" s="9">
        <v>30.322800000000001</v>
      </c>
      <c r="R195" s="9"/>
      <c r="S195" s="11"/>
    </row>
    <row r="196" spans="1:19" ht="15.75">
      <c r="A196" s="13">
        <v>47818</v>
      </c>
      <c r="B196" s="8">
        <f>5.7529 * CHOOSE(CONTROL!$C$12, $D$11, 100%, $F$11)</f>
        <v>5.7529000000000003</v>
      </c>
      <c r="C196" s="8">
        <f>5.7634 * CHOOSE(CONTROL!$C$12, $D$11, 100%, $F$11)</f>
        <v>5.7633999999999999</v>
      </c>
      <c r="D196" s="8">
        <f>5.7478 * CHOOSE( CONTROL!$C$12, $D$11, 100%, $F$11)</f>
        <v>5.7477999999999998</v>
      </c>
      <c r="E196" s="12">
        <f>5.7524 * CHOOSE( CONTROL!$C$12, $D$11, 100%, $F$11)</f>
        <v>5.7523999999999997</v>
      </c>
      <c r="F196" s="4">
        <f>6.7471 * CHOOSE(CONTROL!$C$12, $D$11, 100%, $F$11)</f>
        <v>6.7470999999999997</v>
      </c>
      <c r="G196" s="8">
        <f>5.6181 * CHOOSE( CONTROL!$C$12, $D$11, 100%, $F$11)</f>
        <v>5.6181000000000001</v>
      </c>
      <c r="H196" s="4">
        <f>6.5007 * CHOOSE(CONTROL!$C$12, $D$11, 100%, $F$11)</f>
        <v>6.5007000000000001</v>
      </c>
      <c r="I196" s="8">
        <f>5.6117 * CHOOSE(CONTROL!$C$12, $D$11, 100%, $F$11)</f>
        <v>5.6116999999999999</v>
      </c>
      <c r="J196" s="4">
        <f>5.5077 * CHOOSE(CONTROL!$C$12, $D$11, 100%, $F$11)</f>
        <v>5.5076999999999998</v>
      </c>
      <c r="K196" s="4"/>
      <c r="L196" s="9">
        <v>27.3993</v>
      </c>
      <c r="M196" s="9">
        <v>12.063700000000001</v>
      </c>
      <c r="N196" s="9">
        <v>4.9444999999999997</v>
      </c>
      <c r="O196" s="9">
        <v>0.37459999999999999</v>
      </c>
      <c r="P196" s="9">
        <v>1.2939000000000001</v>
      </c>
      <c r="Q196" s="9">
        <v>31.333600000000001</v>
      </c>
      <c r="R196" s="9"/>
      <c r="S196" s="11"/>
    </row>
    <row r="197" spans="1:19" ht="15.75">
      <c r="A197" s="13">
        <v>47849</v>
      </c>
      <c r="B197" s="8">
        <f>5.8992 * CHOOSE(CONTROL!$C$12, $D$11, 100%, $F$11)</f>
        <v>5.8992000000000004</v>
      </c>
      <c r="C197" s="8">
        <f>5.9096 * CHOOSE(CONTROL!$C$12, $D$11, 100%, $F$11)</f>
        <v>5.9096000000000002</v>
      </c>
      <c r="D197" s="8">
        <f>5.9073 * CHOOSE( CONTROL!$C$12, $D$11, 100%, $F$11)</f>
        <v>5.9073000000000002</v>
      </c>
      <c r="E197" s="12">
        <f>5.907 * CHOOSE( CONTROL!$C$12, $D$11, 100%, $F$11)</f>
        <v>5.907</v>
      </c>
      <c r="F197" s="4">
        <f>6.9221 * CHOOSE(CONTROL!$C$12, $D$11, 100%, $F$11)</f>
        <v>6.9221000000000004</v>
      </c>
      <c r="G197" s="8">
        <f>5.7779 * CHOOSE( CONTROL!$C$12, $D$11, 100%, $F$11)</f>
        <v>5.7778999999999998</v>
      </c>
      <c r="H197" s="4">
        <f>6.6712 * CHOOSE(CONTROL!$C$12, $D$11, 100%, $F$11)</f>
        <v>6.6711999999999998</v>
      </c>
      <c r="I197" s="8">
        <f>5.7593 * CHOOSE(CONTROL!$C$12, $D$11, 100%, $F$11)</f>
        <v>5.7592999999999996</v>
      </c>
      <c r="J197" s="4">
        <f>5.6479 * CHOOSE(CONTROL!$C$12, $D$11, 100%, $F$11)</f>
        <v>5.6478999999999999</v>
      </c>
      <c r="K197" s="4"/>
      <c r="L197" s="9">
        <v>27.3993</v>
      </c>
      <c r="M197" s="9">
        <v>12.063700000000001</v>
      </c>
      <c r="N197" s="9">
        <v>4.9444999999999997</v>
      </c>
      <c r="O197" s="9">
        <v>0.37459999999999999</v>
      </c>
      <c r="P197" s="9">
        <v>1.2939000000000001</v>
      </c>
      <c r="Q197" s="9">
        <v>31.026700000000002</v>
      </c>
      <c r="R197" s="9"/>
      <c r="S197" s="11"/>
    </row>
    <row r="198" spans="1:19" ht="15.75">
      <c r="A198" s="13">
        <v>47880</v>
      </c>
      <c r="B198" s="8">
        <f>5.5182 * CHOOSE(CONTROL!$C$12, $D$11, 100%, $F$11)</f>
        <v>5.5182000000000002</v>
      </c>
      <c r="C198" s="8">
        <f>5.5286 * CHOOSE(CONTROL!$C$12, $D$11, 100%, $F$11)</f>
        <v>5.5286</v>
      </c>
      <c r="D198" s="8">
        <f>5.5285 * CHOOSE( CONTROL!$C$12, $D$11, 100%, $F$11)</f>
        <v>5.5285000000000002</v>
      </c>
      <c r="E198" s="12">
        <f>5.5274 * CHOOSE( CONTROL!$C$12, $D$11, 100%, $F$11)</f>
        <v>5.5274000000000001</v>
      </c>
      <c r="F198" s="4">
        <f>6.5332 * CHOOSE(CONTROL!$C$12, $D$11, 100%, $F$11)</f>
        <v>6.5331999999999999</v>
      </c>
      <c r="G198" s="8">
        <f>5.4063 * CHOOSE( CONTROL!$C$12, $D$11, 100%, $F$11)</f>
        <v>5.4062999999999999</v>
      </c>
      <c r="H198" s="4">
        <f>6.2922 * CHOOSE(CONTROL!$C$12, $D$11, 100%, $F$11)</f>
        <v>6.2922000000000002</v>
      </c>
      <c r="I198" s="8">
        <f>5.383 * CHOOSE(CONTROL!$C$12, $D$11, 100%, $F$11)</f>
        <v>5.383</v>
      </c>
      <c r="J198" s="4">
        <f>5.2827 * CHOOSE(CONTROL!$C$12, $D$11, 100%, $F$11)</f>
        <v>5.2827000000000002</v>
      </c>
      <c r="K198" s="4"/>
      <c r="L198" s="9">
        <v>24.747800000000002</v>
      </c>
      <c r="M198" s="9">
        <v>10.8962</v>
      </c>
      <c r="N198" s="9">
        <v>4.4660000000000002</v>
      </c>
      <c r="O198" s="9">
        <v>0.33829999999999999</v>
      </c>
      <c r="P198" s="9">
        <v>1.1687000000000001</v>
      </c>
      <c r="Q198" s="9">
        <v>28.024100000000001</v>
      </c>
      <c r="R198" s="9"/>
      <c r="S198" s="11"/>
    </row>
    <row r="199" spans="1:19" ht="15.75">
      <c r="A199" s="13">
        <v>47908</v>
      </c>
      <c r="B199" s="8">
        <f>5.4008 * CHOOSE(CONTROL!$C$12, $D$11, 100%, $F$11)</f>
        <v>5.4008000000000003</v>
      </c>
      <c r="C199" s="8">
        <f>5.4112 * CHOOSE(CONTROL!$C$12, $D$11, 100%, $F$11)</f>
        <v>5.4112</v>
      </c>
      <c r="D199" s="8">
        <f>5.3911 * CHOOSE( CONTROL!$C$12, $D$11, 100%, $F$11)</f>
        <v>5.3910999999999998</v>
      </c>
      <c r="E199" s="12">
        <f>5.3973 * CHOOSE( CONTROL!$C$12, $D$11, 100%, $F$11)</f>
        <v>5.3973000000000004</v>
      </c>
      <c r="F199" s="4">
        <f>6.3997 * CHOOSE(CONTROL!$C$12, $D$11, 100%, $F$11)</f>
        <v>6.3997000000000002</v>
      </c>
      <c r="G199" s="8">
        <f>5.2714 * CHOOSE( CONTROL!$C$12, $D$11, 100%, $F$11)</f>
        <v>5.2713999999999999</v>
      </c>
      <c r="H199" s="4">
        <f>6.162 * CHOOSE(CONTROL!$C$12, $D$11, 100%, $F$11)</f>
        <v>6.1619999999999999</v>
      </c>
      <c r="I199" s="8">
        <f>5.231 * CHOOSE(CONTROL!$C$12, $D$11, 100%, $F$11)</f>
        <v>5.2309999999999999</v>
      </c>
      <c r="J199" s="4">
        <f>5.1703 * CHOOSE(CONTROL!$C$12, $D$11, 100%, $F$11)</f>
        <v>5.1703000000000001</v>
      </c>
      <c r="K199" s="4"/>
      <c r="L199" s="9">
        <v>27.3993</v>
      </c>
      <c r="M199" s="9">
        <v>12.063700000000001</v>
      </c>
      <c r="N199" s="9">
        <v>4.9444999999999997</v>
      </c>
      <c r="O199" s="9">
        <v>0.37459999999999999</v>
      </c>
      <c r="P199" s="9">
        <v>1.2939000000000001</v>
      </c>
      <c r="Q199" s="9">
        <v>31.026700000000002</v>
      </c>
      <c r="R199" s="9"/>
      <c r="S199" s="11"/>
    </row>
    <row r="200" spans="1:19" ht="15.75">
      <c r="A200" s="13">
        <v>47939</v>
      </c>
      <c r="B200" s="8">
        <f>5.4828 * CHOOSE(CONTROL!$C$12, $D$11, 100%, $F$11)</f>
        <v>5.4828000000000001</v>
      </c>
      <c r="C200" s="8">
        <f>5.4932 * CHOOSE(CONTROL!$C$12, $D$11, 100%, $F$11)</f>
        <v>5.4931999999999999</v>
      </c>
      <c r="D200" s="8">
        <f>5.4964 * CHOOSE( CONTROL!$C$12, $D$11, 100%, $F$11)</f>
        <v>5.4964000000000004</v>
      </c>
      <c r="E200" s="12">
        <f>5.4942 * CHOOSE( CONTROL!$C$12, $D$11, 100%, $F$11)</f>
        <v>5.4942000000000002</v>
      </c>
      <c r="F200" s="4">
        <f>6.4901 * CHOOSE(CONTROL!$C$12, $D$11, 100%, $F$11)</f>
        <v>6.4901</v>
      </c>
      <c r="G200" s="8">
        <f>5.3392 * CHOOSE( CONTROL!$C$12, $D$11, 100%, $F$11)</f>
        <v>5.3391999999999999</v>
      </c>
      <c r="H200" s="4">
        <f>6.2501 * CHOOSE(CONTROL!$C$12, $D$11, 100%, $F$11)</f>
        <v>6.2500999999999998</v>
      </c>
      <c r="I200" s="8">
        <f>5.2997 * CHOOSE(CONTROL!$C$12, $D$11, 100%, $F$11)</f>
        <v>5.2996999999999996</v>
      </c>
      <c r="J200" s="4">
        <f>5.2489 * CHOOSE(CONTROL!$C$12, $D$11, 100%, $F$11)</f>
        <v>5.2488999999999999</v>
      </c>
      <c r="K200" s="4"/>
      <c r="L200" s="9">
        <v>27.988800000000001</v>
      </c>
      <c r="M200" s="9">
        <v>11.6745</v>
      </c>
      <c r="N200" s="9">
        <v>4.7850000000000001</v>
      </c>
      <c r="O200" s="9">
        <v>0.36249999999999999</v>
      </c>
      <c r="P200" s="9">
        <v>1.1798</v>
      </c>
      <c r="Q200" s="9">
        <v>30.0258</v>
      </c>
      <c r="R200" s="9"/>
      <c r="S200" s="11"/>
    </row>
    <row r="201" spans="1:19" ht="15.75">
      <c r="A201" s="13">
        <v>47969</v>
      </c>
      <c r="B201" s="8">
        <f>CHOOSE( CONTROL!$C$29, 5.633, 5.6288) * CHOOSE(CONTROL!$C$12, $D$11, 100%, $F$11)</f>
        <v>5.633</v>
      </c>
      <c r="C201" s="8">
        <f>CHOOSE( CONTROL!$C$29, 5.6434, 5.6392) * CHOOSE(CONTROL!$C$12, $D$11, 100%, $F$11)</f>
        <v>5.6433999999999997</v>
      </c>
      <c r="D201" s="8">
        <f>CHOOSE( CONTROL!$C$29, 5.6214, 5.6171) * CHOOSE( CONTROL!$C$12, $D$11, 100%, $F$11)</f>
        <v>5.6214000000000004</v>
      </c>
      <c r="E201" s="12">
        <f>CHOOSE( CONTROL!$C$29, 5.6278, 5.6235) * CHOOSE( CONTROL!$C$12, $D$11, 100%, $F$11)</f>
        <v>5.6277999999999997</v>
      </c>
      <c r="F201" s="4">
        <f>CHOOSE( CONTROL!$C$29, 6.6079, 6.6037) * CHOOSE(CONTROL!$C$12, $D$11, 100%, $F$11)</f>
        <v>6.6078999999999999</v>
      </c>
      <c r="G201" s="8">
        <f>CHOOSE( CONTROL!$C$29, 5.4669, 5.4627) * CHOOSE( CONTROL!$C$12, $D$11, 100%, $F$11)</f>
        <v>5.4668999999999999</v>
      </c>
      <c r="H201" s="4">
        <f>CHOOSE( CONTROL!$C$29, 6.3649, 6.3608) * CHOOSE(CONTROL!$C$12, $D$11, 100%, $F$11)</f>
        <v>6.3648999999999996</v>
      </c>
      <c r="I201" s="8">
        <f>CHOOSE( CONTROL!$C$29, 5.4222, 5.4181) * CHOOSE(CONTROL!$C$12, $D$11, 100%, $F$11)</f>
        <v>5.4222000000000001</v>
      </c>
      <c r="J201" s="4">
        <f>CHOOSE( CONTROL!$C$29, 5.3928, 5.3887) * CHOOSE(CONTROL!$C$12, $D$11, 100%, $F$11)</f>
        <v>5.3928000000000003</v>
      </c>
      <c r="K201" s="4"/>
      <c r="L201" s="9">
        <v>29.520499999999998</v>
      </c>
      <c r="M201" s="9">
        <v>12.063700000000001</v>
      </c>
      <c r="N201" s="9">
        <v>4.9444999999999997</v>
      </c>
      <c r="O201" s="9">
        <v>0.37459999999999999</v>
      </c>
      <c r="P201" s="9">
        <v>1.2192000000000001</v>
      </c>
      <c r="Q201" s="9">
        <v>31.026700000000002</v>
      </c>
      <c r="R201" s="9"/>
      <c r="S201" s="11"/>
    </row>
    <row r="202" spans="1:19" ht="15.75">
      <c r="A202" s="13">
        <v>48000</v>
      </c>
      <c r="B202" s="8">
        <f>CHOOSE( CONTROL!$C$29, 5.5426, 5.5383) * CHOOSE(CONTROL!$C$12, $D$11, 100%, $F$11)</f>
        <v>5.5426000000000002</v>
      </c>
      <c r="C202" s="8">
        <f>CHOOSE( CONTROL!$C$29, 5.553, 5.5488) * CHOOSE(CONTROL!$C$12, $D$11, 100%, $F$11)</f>
        <v>5.5529999999999999</v>
      </c>
      <c r="D202" s="8">
        <f>CHOOSE( CONTROL!$C$29, 5.5253, 5.5211) * CHOOSE( CONTROL!$C$12, $D$11, 100%, $F$11)</f>
        <v>5.5252999999999997</v>
      </c>
      <c r="E202" s="12">
        <f>CHOOSE( CONTROL!$C$29, 5.5338, 5.5295) * CHOOSE( CONTROL!$C$12, $D$11, 100%, $F$11)</f>
        <v>5.5338000000000003</v>
      </c>
      <c r="F202" s="4">
        <f>CHOOSE( CONTROL!$C$29, 6.507, 6.5028) * CHOOSE(CONTROL!$C$12, $D$11, 100%, $F$11)</f>
        <v>6.5069999999999997</v>
      </c>
      <c r="G202" s="8">
        <f>CHOOSE( CONTROL!$C$29, 5.3774, 5.3733) * CHOOSE( CONTROL!$C$12, $D$11, 100%, $F$11)</f>
        <v>5.3773999999999997</v>
      </c>
      <c r="H202" s="4">
        <f>CHOOSE( CONTROL!$C$29, 6.2666, 6.2625) * CHOOSE(CONTROL!$C$12, $D$11, 100%, $F$11)</f>
        <v>6.2666000000000004</v>
      </c>
      <c r="I202" s="8">
        <f>CHOOSE( CONTROL!$C$29, 5.3377, 5.3336) * CHOOSE(CONTROL!$C$12, $D$11, 100%, $F$11)</f>
        <v>5.3376999999999999</v>
      </c>
      <c r="J202" s="4">
        <f>CHOOSE( CONTROL!$C$29, 5.3061, 5.3021) * CHOOSE(CONTROL!$C$12, $D$11, 100%, $F$11)</f>
        <v>5.3060999999999998</v>
      </c>
      <c r="K202" s="4"/>
      <c r="L202" s="9">
        <v>28.568200000000001</v>
      </c>
      <c r="M202" s="9">
        <v>11.6745</v>
      </c>
      <c r="N202" s="9">
        <v>4.7850000000000001</v>
      </c>
      <c r="O202" s="9">
        <v>0.36249999999999999</v>
      </c>
      <c r="P202" s="9">
        <v>1.1798</v>
      </c>
      <c r="Q202" s="9">
        <v>30.0258</v>
      </c>
      <c r="R202" s="9"/>
      <c r="S202" s="11"/>
    </row>
    <row r="203" spans="1:19" ht="15.75">
      <c r="A203" s="13">
        <v>48030</v>
      </c>
      <c r="B203" s="8">
        <f>CHOOSE( CONTROL!$C$29, 5.7807, 5.7764) * CHOOSE(CONTROL!$C$12, $D$11, 100%, $F$11)</f>
        <v>5.7807000000000004</v>
      </c>
      <c r="C203" s="8">
        <f>CHOOSE( CONTROL!$C$29, 5.7911, 5.7869) * CHOOSE(CONTROL!$C$12, $D$11, 100%, $F$11)</f>
        <v>5.7911000000000001</v>
      </c>
      <c r="D203" s="8">
        <f>CHOOSE( CONTROL!$C$29, 5.7972, 5.793) * CHOOSE( CONTROL!$C$12, $D$11, 100%, $F$11)</f>
        <v>5.7972000000000001</v>
      </c>
      <c r="E203" s="12">
        <f>CHOOSE( CONTROL!$C$29, 5.7934, 5.7892) * CHOOSE( CONTROL!$C$12, $D$11, 100%, $F$11)</f>
        <v>5.7934000000000001</v>
      </c>
      <c r="F203" s="4">
        <f>CHOOSE( CONTROL!$C$29, 6.7905, 6.7863) * CHOOSE(CONTROL!$C$12, $D$11, 100%, $F$11)</f>
        <v>6.7904999999999998</v>
      </c>
      <c r="G203" s="8">
        <f>CHOOSE( CONTROL!$C$29, 5.6356, 5.6315) * CHOOSE( CONTROL!$C$12, $D$11, 100%, $F$11)</f>
        <v>5.6356000000000002</v>
      </c>
      <c r="H203" s="4">
        <f>CHOOSE( CONTROL!$C$29, 6.543, 6.5389) * CHOOSE(CONTROL!$C$12, $D$11, 100%, $F$11)</f>
        <v>6.5430000000000001</v>
      </c>
      <c r="I203" s="8">
        <f>CHOOSE( CONTROL!$C$29, 5.6212, 5.6171) * CHOOSE(CONTROL!$C$12, $D$11, 100%, $F$11)</f>
        <v>5.6212</v>
      </c>
      <c r="J203" s="4">
        <f>CHOOSE( CONTROL!$C$29, 5.5343, 5.5302) * CHOOSE(CONTROL!$C$12, $D$11, 100%, $F$11)</f>
        <v>5.5343</v>
      </c>
      <c r="K203" s="4"/>
      <c r="L203" s="9">
        <v>29.520499999999998</v>
      </c>
      <c r="M203" s="9">
        <v>12.063700000000001</v>
      </c>
      <c r="N203" s="9">
        <v>4.9444999999999997</v>
      </c>
      <c r="O203" s="9">
        <v>0.37459999999999999</v>
      </c>
      <c r="P203" s="9">
        <v>1.2192000000000001</v>
      </c>
      <c r="Q203" s="9">
        <v>31.026700000000002</v>
      </c>
      <c r="R203" s="9"/>
      <c r="S203" s="11"/>
    </row>
    <row r="204" spans="1:19" ht="15.75">
      <c r="A204" s="13">
        <v>48061</v>
      </c>
      <c r="B204" s="8">
        <f>CHOOSE( CONTROL!$C$29, 5.3352, 5.3309) * CHOOSE(CONTROL!$C$12, $D$11, 100%, $F$11)</f>
        <v>5.3352000000000004</v>
      </c>
      <c r="C204" s="8">
        <f>CHOOSE( CONTROL!$C$29, 5.3456, 5.3414) * CHOOSE(CONTROL!$C$12, $D$11, 100%, $F$11)</f>
        <v>5.3456000000000001</v>
      </c>
      <c r="D204" s="8">
        <f>CHOOSE( CONTROL!$C$29, 5.3682, 5.364) * CHOOSE( CONTROL!$C$12, $D$11, 100%, $F$11)</f>
        <v>5.3681999999999999</v>
      </c>
      <c r="E204" s="12">
        <f>CHOOSE( CONTROL!$C$29, 5.3584, 5.3542) * CHOOSE( CONTROL!$C$12, $D$11, 100%, $F$11)</f>
        <v>5.3583999999999996</v>
      </c>
      <c r="F204" s="4">
        <f>CHOOSE( CONTROL!$C$29, 6.3737, 6.3695) * CHOOSE(CONTROL!$C$12, $D$11, 100%, $F$11)</f>
        <v>6.3737000000000004</v>
      </c>
      <c r="G204" s="8">
        <f>CHOOSE( CONTROL!$C$29, 5.2069, 5.2028) * CHOOSE( CONTROL!$C$12, $D$11, 100%, $F$11)</f>
        <v>5.2069000000000001</v>
      </c>
      <c r="H204" s="4">
        <f>CHOOSE( CONTROL!$C$29, 6.1367, 6.1326) * CHOOSE(CONTROL!$C$12, $D$11, 100%, $F$11)</f>
        <v>6.1367000000000003</v>
      </c>
      <c r="I204" s="8">
        <f>CHOOSE( CONTROL!$C$29, 5.1856, 5.1815) * CHOOSE(CONTROL!$C$12, $D$11, 100%, $F$11)</f>
        <v>5.1856</v>
      </c>
      <c r="J204" s="4">
        <f>CHOOSE( CONTROL!$C$29, 5.1074, 5.1033) * CHOOSE(CONTROL!$C$12, $D$11, 100%, $F$11)</f>
        <v>5.1074000000000002</v>
      </c>
      <c r="K204" s="4"/>
      <c r="L204" s="9">
        <v>29.520499999999998</v>
      </c>
      <c r="M204" s="9">
        <v>12.063700000000001</v>
      </c>
      <c r="N204" s="9">
        <v>4.9444999999999997</v>
      </c>
      <c r="O204" s="9">
        <v>0.37459999999999999</v>
      </c>
      <c r="P204" s="9">
        <v>1.2192000000000001</v>
      </c>
      <c r="Q204" s="9">
        <v>31.026700000000002</v>
      </c>
      <c r="R204" s="9"/>
      <c r="S204" s="11"/>
    </row>
    <row r="205" spans="1:19" ht="15.75">
      <c r="A205" s="13">
        <v>48092</v>
      </c>
      <c r="B205" s="8">
        <f>CHOOSE( CONTROL!$C$29, 5.2236, 5.2194) * CHOOSE(CONTROL!$C$12, $D$11, 100%, $F$11)</f>
        <v>5.2236000000000002</v>
      </c>
      <c r="C205" s="8">
        <f>CHOOSE( CONTROL!$C$29, 5.234, 5.2298) * CHOOSE(CONTROL!$C$12, $D$11, 100%, $F$11)</f>
        <v>5.234</v>
      </c>
      <c r="D205" s="8">
        <f>CHOOSE( CONTROL!$C$29, 5.2566, 5.2524) * CHOOSE( CONTROL!$C$12, $D$11, 100%, $F$11)</f>
        <v>5.2565999999999997</v>
      </c>
      <c r="E205" s="12">
        <f>CHOOSE( CONTROL!$C$29, 5.2468, 5.2426) * CHOOSE( CONTROL!$C$12, $D$11, 100%, $F$11)</f>
        <v>5.2468000000000004</v>
      </c>
      <c r="F205" s="4">
        <f>CHOOSE( CONTROL!$C$29, 6.2622, 6.2579) * CHOOSE(CONTROL!$C$12, $D$11, 100%, $F$11)</f>
        <v>6.2622</v>
      </c>
      <c r="G205" s="8">
        <f>CHOOSE( CONTROL!$C$29, 5.0979, 5.0937) * CHOOSE( CONTROL!$C$12, $D$11, 100%, $F$11)</f>
        <v>5.0979000000000001</v>
      </c>
      <c r="H205" s="4">
        <f>CHOOSE( CONTROL!$C$29, 6.0279, 6.0238) * CHOOSE(CONTROL!$C$12, $D$11, 100%, $F$11)</f>
        <v>6.0278999999999998</v>
      </c>
      <c r="I205" s="8">
        <f>CHOOSE( CONTROL!$C$29, 5.0769, 5.0728) * CHOOSE(CONTROL!$C$12, $D$11, 100%, $F$11)</f>
        <v>5.0769000000000002</v>
      </c>
      <c r="J205" s="4">
        <f>CHOOSE( CONTROL!$C$29, 5.0005, 4.9964) * CHOOSE(CONTROL!$C$12, $D$11, 100%, $F$11)</f>
        <v>5.0004999999999997</v>
      </c>
      <c r="K205" s="4"/>
      <c r="L205" s="9">
        <v>28.568200000000001</v>
      </c>
      <c r="M205" s="9">
        <v>11.6745</v>
      </c>
      <c r="N205" s="9">
        <v>4.7850000000000001</v>
      </c>
      <c r="O205" s="9">
        <v>0.36249999999999999</v>
      </c>
      <c r="P205" s="9">
        <v>1.1798</v>
      </c>
      <c r="Q205" s="9">
        <v>30.0258</v>
      </c>
      <c r="R205" s="9"/>
      <c r="S205" s="11"/>
    </row>
    <row r="206" spans="1:19" ht="15.75">
      <c r="A206" s="13">
        <v>48122</v>
      </c>
      <c r="B206" s="8">
        <f>5.451 * CHOOSE(CONTROL!$C$12, $D$11, 100%, $F$11)</f>
        <v>5.4509999999999996</v>
      </c>
      <c r="C206" s="8">
        <f>5.4614 * CHOOSE(CONTROL!$C$12, $D$11, 100%, $F$11)</f>
        <v>5.4614000000000003</v>
      </c>
      <c r="D206" s="8">
        <f>5.4659 * CHOOSE( CONTROL!$C$12, $D$11, 100%, $F$11)</f>
        <v>5.4659000000000004</v>
      </c>
      <c r="E206" s="12">
        <f>5.4633 * CHOOSE( CONTROL!$C$12, $D$11, 100%, $F$11)</f>
        <v>5.4633000000000003</v>
      </c>
      <c r="F206" s="4">
        <f>6.4583 * CHOOSE(CONTROL!$C$12, $D$11, 100%, $F$11)</f>
        <v>6.4583000000000004</v>
      </c>
      <c r="G206" s="8">
        <f>5.3098 * CHOOSE( CONTROL!$C$12, $D$11, 100%, $F$11)</f>
        <v>5.3098000000000001</v>
      </c>
      <c r="H206" s="4">
        <f>6.2191 * CHOOSE(CONTROL!$C$12, $D$11, 100%, $F$11)</f>
        <v>6.2191000000000001</v>
      </c>
      <c r="I206" s="8">
        <f>5.2916 * CHOOSE(CONTROL!$C$12, $D$11, 100%, $F$11)</f>
        <v>5.2915999999999999</v>
      </c>
      <c r="J206" s="4">
        <f>5.2184 * CHOOSE(CONTROL!$C$12, $D$11, 100%, $F$11)</f>
        <v>5.2183999999999999</v>
      </c>
      <c r="K206" s="4"/>
      <c r="L206" s="9">
        <v>28.921800000000001</v>
      </c>
      <c r="M206" s="9">
        <v>12.063700000000001</v>
      </c>
      <c r="N206" s="9">
        <v>4.9444999999999997</v>
      </c>
      <c r="O206" s="9">
        <v>0.37459999999999999</v>
      </c>
      <c r="P206" s="9">
        <v>1.2192000000000001</v>
      </c>
      <c r="Q206" s="9">
        <v>31.026700000000002</v>
      </c>
      <c r="R206" s="9"/>
      <c r="S206" s="11"/>
    </row>
    <row r="207" spans="1:19" ht="15.75">
      <c r="A207" s="13">
        <v>48153</v>
      </c>
      <c r="B207" s="8">
        <f>5.8786 * CHOOSE(CONTROL!$C$12, $D$11, 100%, $F$11)</f>
        <v>5.8785999999999996</v>
      </c>
      <c r="C207" s="8">
        <f>5.889 * CHOOSE(CONTROL!$C$12, $D$11, 100%, $F$11)</f>
        <v>5.8890000000000002</v>
      </c>
      <c r="D207" s="8">
        <f>5.8714 * CHOOSE( CONTROL!$C$12, $D$11, 100%, $F$11)</f>
        <v>5.8714000000000004</v>
      </c>
      <c r="E207" s="12">
        <f>5.8767 * CHOOSE( CONTROL!$C$12, $D$11, 100%, $F$11)</f>
        <v>5.8766999999999996</v>
      </c>
      <c r="F207" s="4">
        <f>6.8728 * CHOOSE(CONTROL!$C$12, $D$11, 100%, $F$11)</f>
        <v>6.8727999999999998</v>
      </c>
      <c r="G207" s="8">
        <f>5.739 * CHOOSE( CONTROL!$C$12, $D$11, 100%, $F$11)</f>
        <v>5.7389999999999999</v>
      </c>
      <c r="H207" s="4">
        <f>6.6231 * CHOOSE(CONTROL!$C$12, $D$11, 100%, $F$11)</f>
        <v>6.6231</v>
      </c>
      <c r="I207" s="8">
        <f>5.7249 * CHOOSE(CONTROL!$C$12, $D$11, 100%, $F$11)</f>
        <v>5.7248999999999999</v>
      </c>
      <c r="J207" s="4">
        <f>5.6281 * CHOOSE(CONTROL!$C$12, $D$11, 100%, $F$11)</f>
        <v>5.6280999999999999</v>
      </c>
      <c r="K207" s="4"/>
      <c r="L207" s="9">
        <v>26.515499999999999</v>
      </c>
      <c r="M207" s="9">
        <v>11.6745</v>
      </c>
      <c r="N207" s="9">
        <v>4.7850000000000001</v>
      </c>
      <c r="O207" s="9">
        <v>0.36249999999999999</v>
      </c>
      <c r="P207" s="9">
        <v>1.2522</v>
      </c>
      <c r="Q207" s="9">
        <v>30.0258</v>
      </c>
      <c r="R207" s="9"/>
      <c r="S207" s="11"/>
    </row>
    <row r="208" spans="1:19" ht="15.75">
      <c r="A208" s="13">
        <v>48183</v>
      </c>
      <c r="B208" s="8">
        <f>5.8679 * CHOOSE(CONTROL!$C$12, $D$11, 100%, $F$11)</f>
        <v>5.8678999999999997</v>
      </c>
      <c r="C208" s="8">
        <f>5.8783 * CHOOSE(CONTROL!$C$12, $D$11, 100%, $F$11)</f>
        <v>5.8783000000000003</v>
      </c>
      <c r="D208" s="8">
        <f>5.8627 * CHOOSE( CONTROL!$C$12, $D$11, 100%, $F$11)</f>
        <v>5.8627000000000002</v>
      </c>
      <c r="E208" s="12">
        <f>5.8673 * CHOOSE( CONTROL!$C$12, $D$11, 100%, $F$11)</f>
        <v>5.8673000000000002</v>
      </c>
      <c r="F208" s="4">
        <f>6.8621 * CHOOSE(CONTROL!$C$12, $D$11, 100%, $F$11)</f>
        <v>6.8620999999999999</v>
      </c>
      <c r="G208" s="8">
        <f>5.7302 * CHOOSE( CONTROL!$C$12, $D$11, 100%, $F$11)</f>
        <v>5.7302</v>
      </c>
      <c r="H208" s="4">
        <f>6.6127 * CHOOSE(CONTROL!$C$12, $D$11, 100%, $F$11)</f>
        <v>6.6127000000000002</v>
      </c>
      <c r="I208" s="8">
        <f>5.7219 * CHOOSE(CONTROL!$C$12, $D$11, 100%, $F$11)</f>
        <v>5.7218999999999998</v>
      </c>
      <c r="J208" s="4">
        <f>5.6179 * CHOOSE(CONTROL!$C$12, $D$11, 100%, $F$11)</f>
        <v>5.6178999999999997</v>
      </c>
      <c r="K208" s="4"/>
      <c r="L208" s="9">
        <v>27.3993</v>
      </c>
      <c r="M208" s="9">
        <v>12.063700000000001</v>
      </c>
      <c r="N208" s="9">
        <v>4.9444999999999997</v>
      </c>
      <c r="O208" s="9">
        <v>0.37459999999999999</v>
      </c>
      <c r="P208" s="9">
        <v>1.2939000000000001</v>
      </c>
      <c r="Q208" s="9">
        <v>31.026700000000002</v>
      </c>
      <c r="R208" s="9"/>
      <c r="S208" s="11"/>
    </row>
    <row r="209" spans="1:19" ht="15.75">
      <c r="A209" s="13">
        <v>48214</v>
      </c>
      <c r="B209" s="8">
        <f>6.0171 * CHOOSE(CONTROL!$C$12, $D$11, 100%, $F$11)</f>
        <v>6.0171000000000001</v>
      </c>
      <c r="C209" s="8">
        <f>6.0275 * CHOOSE(CONTROL!$C$12, $D$11, 100%, $F$11)</f>
        <v>6.0274999999999999</v>
      </c>
      <c r="D209" s="8">
        <f>6.0252 * CHOOSE( CONTROL!$C$12, $D$11, 100%, $F$11)</f>
        <v>6.0251999999999999</v>
      </c>
      <c r="E209" s="12">
        <f>6.0249 * CHOOSE( CONTROL!$C$12, $D$11, 100%, $F$11)</f>
        <v>6.0248999999999997</v>
      </c>
      <c r="F209" s="4">
        <f>7.04 * CHOOSE(CONTROL!$C$12, $D$11, 100%, $F$11)</f>
        <v>7.04</v>
      </c>
      <c r="G209" s="8">
        <f>5.8928 * CHOOSE( CONTROL!$C$12, $D$11, 100%, $F$11)</f>
        <v>5.8928000000000003</v>
      </c>
      <c r="H209" s="4">
        <f>6.7861 * CHOOSE(CONTROL!$C$12, $D$11, 100%, $F$11)</f>
        <v>6.7861000000000002</v>
      </c>
      <c r="I209" s="8">
        <f>5.8723 * CHOOSE(CONTROL!$C$12, $D$11, 100%, $F$11)</f>
        <v>5.8723000000000001</v>
      </c>
      <c r="J209" s="4">
        <f>5.7608 * CHOOSE(CONTROL!$C$12, $D$11, 100%, $F$11)</f>
        <v>5.7607999999999997</v>
      </c>
      <c r="K209" s="4"/>
      <c r="L209" s="9">
        <v>27.3993</v>
      </c>
      <c r="M209" s="9">
        <v>12.063700000000001</v>
      </c>
      <c r="N209" s="9">
        <v>4.9444999999999997</v>
      </c>
      <c r="O209" s="9">
        <v>0.37459999999999999</v>
      </c>
      <c r="P209" s="9">
        <v>1.2939000000000001</v>
      </c>
      <c r="Q209" s="9">
        <v>30.8704</v>
      </c>
      <c r="R209" s="9"/>
      <c r="S209" s="11"/>
    </row>
    <row r="210" spans="1:19" ht="15.75">
      <c r="A210" s="13">
        <v>48245</v>
      </c>
      <c r="B210" s="8">
        <f>5.6284 * CHOOSE(CONTROL!$C$12, $D$11, 100%, $F$11)</f>
        <v>5.6284000000000001</v>
      </c>
      <c r="C210" s="8">
        <f>5.6389 * CHOOSE(CONTROL!$C$12, $D$11, 100%, $F$11)</f>
        <v>5.6388999999999996</v>
      </c>
      <c r="D210" s="8">
        <f>5.6388 * CHOOSE( CONTROL!$C$12, $D$11, 100%, $F$11)</f>
        <v>5.6387999999999998</v>
      </c>
      <c r="E210" s="12">
        <f>5.6377 * CHOOSE( CONTROL!$C$12, $D$11, 100%, $F$11)</f>
        <v>5.6376999999999997</v>
      </c>
      <c r="F210" s="4">
        <f>6.6435 * CHOOSE(CONTROL!$C$12, $D$11, 100%, $F$11)</f>
        <v>6.6435000000000004</v>
      </c>
      <c r="G210" s="8">
        <f>5.5138 * CHOOSE( CONTROL!$C$12, $D$11, 100%, $F$11)</f>
        <v>5.5137999999999998</v>
      </c>
      <c r="H210" s="4">
        <f>6.3996 * CHOOSE(CONTROL!$C$12, $D$11, 100%, $F$11)</f>
        <v>6.3996000000000004</v>
      </c>
      <c r="I210" s="8">
        <f>5.4887 * CHOOSE(CONTROL!$C$12, $D$11, 100%, $F$11)</f>
        <v>5.4886999999999997</v>
      </c>
      <c r="J210" s="4">
        <f>5.3884 * CHOOSE(CONTROL!$C$12, $D$11, 100%, $F$11)</f>
        <v>5.3883999999999999</v>
      </c>
      <c r="K210" s="4"/>
      <c r="L210" s="9">
        <v>25.631599999999999</v>
      </c>
      <c r="M210" s="9">
        <v>11.285299999999999</v>
      </c>
      <c r="N210" s="9">
        <v>4.6254999999999997</v>
      </c>
      <c r="O210" s="9">
        <v>0.35039999999999999</v>
      </c>
      <c r="P210" s="9">
        <v>1.2104999999999999</v>
      </c>
      <c r="Q210" s="9">
        <v>28.878799999999998</v>
      </c>
      <c r="R210" s="9"/>
      <c r="S210" s="11"/>
    </row>
    <row r="211" spans="1:19" ht="15.75">
      <c r="A211" s="13">
        <v>48274</v>
      </c>
      <c r="B211" s="8">
        <f>5.5087 * CHOOSE(CONTROL!$C$12, $D$11, 100%, $F$11)</f>
        <v>5.5087000000000002</v>
      </c>
      <c r="C211" s="8">
        <f>5.5191 * CHOOSE(CONTROL!$C$12, $D$11, 100%, $F$11)</f>
        <v>5.5190999999999999</v>
      </c>
      <c r="D211" s="8">
        <f>5.499 * CHOOSE( CONTROL!$C$12, $D$11, 100%, $F$11)</f>
        <v>5.4989999999999997</v>
      </c>
      <c r="E211" s="12">
        <f>5.5052 * CHOOSE( CONTROL!$C$12, $D$11, 100%, $F$11)</f>
        <v>5.5052000000000003</v>
      </c>
      <c r="F211" s="4">
        <f>6.5076 * CHOOSE(CONTROL!$C$12, $D$11, 100%, $F$11)</f>
        <v>6.5076000000000001</v>
      </c>
      <c r="G211" s="8">
        <f>5.3766 * CHOOSE( CONTROL!$C$12, $D$11, 100%, $F$11)</f>
        <v>5.3765999999999998</v>
      </c>
      <c r="H211" s="4">
        <f>6.2672 * CHOOSE(CONTROL!$C$12, $D$11, 100%, $F$11)</f>
        <v>6.2671999999999999</v>
      </c>
      <c r="I211" s="8">
        <f>5.3345 * CHOOSE(CONTROL!$C$12, $D$11, 100%, $F$11)</f>
        <v>5.3345000000000002</v>
      </c>
      <c r="J211" s="4">
        <f>5.2737 * CHOOSE(CONTROL!$C$12, $D$11, 100%, $F$11)</f>
        <v>5.2736999999999998</v>
      </c>
      <c r="K211" s="4"/>
      <c r="L211" s="9">
        <v>27.3993</v>
      </c>
      <c r="M211" s="9">
        <v>12.063700000000001</v>
      </c>
      <c r="N211" s="9">
        <v>4.9444999999999997</v>
      </c>
      <c r="O211" s="9">
        <v>0.37459999999999999</v>
      </c>
      <c r="P211" s="9">
        <v>1.2939000000000001</v>
      </c>
      <c r="Q211" s="9">
        <v>30.8704</v>
      </c>
      <c r="R211" s="9"/>
      <c r="S211" s="11"/>
    </row>
    <row r="212" spans="1:19" ht="15.75">
      <c r="A212" s="13">
        <v>48305</v>
      </c>
      <c r="B212" s="8">
        <f>5.5924 * CHOOSE(CONTROL!$C$12, $D$11, 100%, $F$11)</f>
        <v>5.5923999999999996</v>
      </c>
      <c r="C212" s="8">
        <f>5.6028 * CHOOSE(CONTROL!$C$12, $D$11, 100%, $F$11)</f>
        <v>5.6028000000000002</v>
      </c>
      <c r="D212" s="8">
        <f>5.606 * CHOOSE( CONTROL!$C$12, $D$11, 100%, $F$11)</f>
        <v>5.6059999999999999</v>
      </c>
      <c r="E212" s="12">
        <f>5.6038 * CHOOSE( CONTROL!$C$12, $D$11, 100%, $F$11)</f>
        <v>5.6037999999999997</v>
      </c>
      <c r="F212" s="4">
        <f>6.5996 * CHOOSE(CONTROL!$C$12, $D$11, 100%, $F$11)</f>
        <v>6.5995999999999997</v>
      </c>
      <c r="G212" s="8">
        <f>5.446 * CHOOSE( CONTROL!$C$12, $D$11, 100%, $F$11)</f>
        <v>5.4459999999999997</v>
      </c>
      <c r="H212" s="4">
        <f>6.3569 * CHOOSE(CONTROL!$C$12, $D$11, 100%, $F$11)</f>
        <v>6.3569000000000004</v>
      </c>
      <c r="I212" s="8">
        <f>5.4048 * CHOOSE(CONTROL!$C$12, $D$11, 100%, $F$11)</f>
        <v>5.4047999999999998</v>
      </c>
      <c r="J212" s="4">
        <f>5.3538 * CHOOSE(CONTROL!$C$12, $D$11, 100%, $F$11)</f>
        <v>5.3537999999999997</v>
      </c>
      <c r="K212" s="4"/>
      <c r="L212" s="9">
        <v>27.988800000000001</v>
      </c>
      <c r="M212" s="9">
        <v>11.6745</v>
      </c>
      <c r="N212" s="9">
        <v>4.7850000000000001</v>
      </c>
      <c r="O212" s="9">
        <v>0.36249999999999999</v>
      </c>
      <c r="P212" s="9">
        <v>1.1798</v>
      </c>
      <c r="Q212" s="9">
        <v>29.874600000000001</v>
      </c>
      <c r="R212" s="9"/>
      <c r="S212" s="11"/>
    </row>
    <row r="213" spans="1:19" ht="15.75">
      <c r="A213" s="13">
        <v>48335</v>
      </c>
      <c r="B213" s="8">
        <f>CHOOSE( CONTROL!$C$29, 5.7455, 5.7412) * CHOOSE(CONTROL!$C$12, $D$11, 100%, $F$11)</f>
        <v>5.7454999999999998</v>
      </c>
      <c r="C213" s="8">
        <f>CHOOSE( CONTROL!$C$29, 5.7559, 5.7517) * CHOOSE(CONTROL!$C$12, $D$11, 100%, $F$11)</f>
        <v>5.7558999999999996</v>
      </c>
      <c r="D213" s="8">
        <f>CHOOSE( CONTROL!$C$29, 5.7338, 5.7296) * CHOOSE( CONTROL!$C$12, $D$11, 100%, $F$11)</f>
        <v>5.7337999999999996</v>
      </c>
      <c r="E213" s="12">
        <f>CHOOSE( CONTROL!$C$29, 5.7402, 5.736) * CHOOSE( CONTROL!$C$12, $D$11, 100%, $F$11)</f>
        <v>5.7401999999999997</v>
      </c>
      <c r="F213" s="4">
        <f>CHOOSE( CONTROL!$C$29, 6.7204, 6.7161) * CHOOSE(CONTROL!$C$12, $D$11, 100%, $F$11)</f>
        <v>6.7203999999999997</v>
      </c>
      <c r="G213" s="8">
        <f>CHOOSE( CONTROL!$C$29, 5.5765, 5.5724) * CHOOSE( CONTROL!$C$12, $D$11, 100%, $F$11)</f>
        <v>5.5765000000000002</v>
      </c>
      <c r="H213" s="4">
        <f>CHOOSE( CONTROL!$C$29, 6.4746, 6.4705) * CHOOSE(CONTROL!$C$12, $D$11, 100%, $F$11)</f>
        <v>6.4745999999999997</v>
      </c>
      <c r="I213" s="8">
        <f>CHOOSE( CONTROL!$C$29, 5.53, 5.5259) * CHOOSE(CONTROL!$C$12, $D$11, 100%, $F$11)</f>
        <v>5.53</v>
      </c>
      <c r="J213" s="4">
        <f>CHOOSE( CONTROL!$C$29, 5.5006, 5.4965) * CHOOSE(CONTROL!$C$12, $D$11, 100%, $F$11)</f>
        <v>5.5006000000000004</v>
      </c>
      <c r="K213" s="4"/>
      <c r="L213" s="9">
        <v>29.520499999999998</v>
      </c>
      <c r="M213" s="9">
        <v>12.063700000000001</v>
      </c>
      <c r="N213" s="9">
        <v>4.9444999999999997</v>
      </c>
      <c r="O213" s="9">
        <v>0.37459999999999999</v>
      </c>
      <c r="P213" s="9">
        <v>1.2192000000000001</v>
      </c>
      <c r="Q213" s="9">
        <v>30.8704</v>
      </c>
      <c r="R213" s="9"/>
      <c r="S213" s="11"/>
    </row>
    <row r="214" spans="1:19" ht="15.75">
      <c r="A214" s="13">
        <v>48366</v>
      </c>
      <c r="B214" s="8">
        <f>CHOOSE( CONTROL!$C$29, 5.6533, 5.649) * CHOOSE(CONTROL!$C$12, $D$11, 100%, $F$11)</f>
        <v>5.6532999999999998</v>
      </c>
      <c r="C214" s="8">
        <f>CHOOSE( CONTROL!$C$29, 5.6637, 5.6594) * CHOOSE(CONTROL!$C$12, $D$11, 100%, $F$11)</f>
        <v>5.6637000000000004</v>
      </c>
      <c r="D214" s="8">
        <f>CHOOSE( CONTROL!$C$29, 5.636, 5.6318) * CHOOSE( CONTROL!$C$12, $D$11, 100%, $F$11)</f>
        <v>5.6360000000000001</v>
      </c>
      <c r="E214" s="12">
        <f>CHOOSE( CONTROL!$C$29, 5.6445, 5.6402) * CHOOSE( CONTROL!$C$12, $D$11, 100%, $F$11)</f>
        <v>5.6444999999999999</v>
      </c>
      <c r="F214" s="4">
        <f>CHOOSE( CONTROL!$C$29, 6.6177, 6.6135) * CHOOSE(CONTROL!$C$12, $D$11, 100%, $F$11)</f>
        <v>6.6177000000000001</v>
      </c>
      <c r="G214" s="8">
        <f>CHOOSE( CONTROL!$C$29, 5.4853, 5.4812) * CHOOSE( CONTROL!$C$12, $D$11, 100%, $F$11)</f>
        <v>5.4852999999999996</v>
      </c>
      <c r="H214" s="4">
        <f>CHOOSE( CONTROL!$C$29, 6.3745, 6.3704) * CHOOSE(CONTROL!$C$12, $D$11, 100%, $F$11)</f>
        <v>6.3745000000000003</v>
      </c>
      <c r="I214" s="8">
        <f>CHOOSE( CONTROL!$C$29, 5.4438, 5.4397) * CHOOSE(CONTROL!$C$12, $D$11, 100%, $F$11)</f>
        <v>5.4438000000000004</v>
      </c>
      <c r="J214" s="4">
        <f>CHOOSE( CONTROL!$C$29, 5.4122, 5.4081) * CHOOSE(CONTROL!$C$12, $D$11, 100%, $F$11)</f>
        <v>5.4122000000000003</v>
      </c>
      <c r="K214" s="4"/>
      <c r="L214" s="9">
        <v>28.568200000000001</v>
      </c>
      <c r="M214" s="9">
        <v>11.6745</v>
      </c>
      <c r="N214" s="9">
        <v>4.7850000000000001</v>
      </c>
      <c r="O214" s="9">
        <v>0.36249999999999999</v>
      </c>
      <c r="P214" s="9">
        <v>1.1798</v>
      </c>
      <c r="Q214" s="9">
        <v>29.874600000000001</v>
      </c>
      <c r="R214" s="9"/>
      <c r="S214" s="11"/>
    </row>
    <row r="215" spans="1:19" ht="15.75">
      <c r="A215" s="13">
        <v>48396</v>
      </c>
      <c r="B215" s="8">
        <f>CHOOSE( CONTROL!$C$29, 5.8961, 5.8919) * CHOOSE(CONTROL!$C$12, $D$11, 100%, $F$11)</f>
        <v>5.8960999999999997</v>
      </c>
      <c r="C215" s="8">
        <f>CHOOSE( CONTROL!$C$29, 5.9066, 5.9023) * CHOOSE(CONTROL!$C$12, $D$11, 100%, $F$11)</f>
        <v>5.9066000000000001</v>
      </c>
      <c r="D215" s="8">
        <f>CHOOSE( CONTROL!$C$29, 5.9127, 5.9084) * CHOOSE( CONTROL!$C$12, $D$11, 100%, $F$11)</f>
        <v>5.9127000000000001</v>
      </c>
      <c r="E215" s="12">
        <f>CHOOSE( CONTROL!$C$29, 5.9089, 5.9046) * CHOOSE( CONTROL!$C$12, $D$11, 100%, $F$11)</f>
        <v>5.9089</v>
      </c>
      <c r="F215" s="4">
        <f>CHOOSE( CONTROL!$C$29, 6.906, 6.9017) * CHOOSE(CONTROL!$C$12, $D$11, 100%, $F$11)</f>
        <v>6.9059999999999997</v>
      </c>
      <c r="G215" s="8">
        <f>CHOOSE( CONTROL!$C$29, 5.7481, 5.744) * CHOOSE( CONTROL!$C$12, $D$11, 100%, $F$11)</f>
        <v>5.7481</v>
      </c>
      <c r="H215" s="4">
        <f>CHOOSE( CONTROL!$C$29, 6.6555, 6.6514) * CHOOSE(CONTROL!$C$12, $D$11, 100%, $F$11)</f>
        <v>6.6555</v>
      </c>
      <c r="I215" s="8">
        <f>CHOOSE( CONTROL!$C$29, 5.7319, 5.7278) * CHOOSE(CONTROL!$C$12, $D$11, 100%, $F$11)</f>
        <v>5.7319000000000004</v>
      </c>
      <c r="J215" s="4">
        <f>CHOOSE( CONTROL!$C$29, 5.6449, 5.6408) * CHOOSE(CONTROL!$C$12, $D$11, 100%, $F$11)</f>
        <v>5.6448999999999998</v>
      </c>
      <c r="K215" s="4"/>
      <c r="L215" s="9">
        <v>29.520499999999998</v>
      </c>
      <c r="M215" s="9">
        <v>12.063700000000001</v>
      </c>
      <c r="N215" s="9">
        <v>4.9444999999999997</v>
      </c>
      <c r="O215" s="9">
        <v>0.37459999999999999</v>
      </c>
      <c r="P215" s="9">
        <v>1.2192000000000001</v>
      </c>
      <c r="Q215" s="9">
        <v>30.8704</v>
      </c>
      <c r="R215" s="9"/>
      <c r="S215" s="11"/>
    </row>
    <row r="216" spans="1:19" ht="15.75">
      <c r="A216" s="13">
        <v>48427</v>
      </c>
      <c r="B216" s="8">
        <f>CHOOSE( CONTROL!$C$29, 5.4417, 5.4374) * CHOOSE(CONTROL!$C$12, $D$11, 100%, $F$11)</f>
        <v>5.4417</v>
      </c>
      <c r="C216" s="8">
        <f>CHOOSE( CONTROL!$C$29, 5.4521, 5.4479) * CHOOSE(CONTROL!$C$12, $D$11, 100%, $F$11)</f>
        <v>5.4520999999999997</v>
      </c>
      <c r="D216" s="8">
        <f>CHOOSE( CONTROL!$C$29, 5.4747, 5.4705) * CHOOSE( CONTROL!$C$12, $D$11, 100%, $F$11)</f>
        <v>5.4747000000000003</v>
      </c>
      <c r="E216" s="12">
        <f>CHOOSE( CONTROL!$C$29, 5.4649, 5.4607) * CHOOSE( CONTROL!$C$12, $D$11, 100%, $F$11)</f>
        <v>5.4649000000000001</v>
      </c>
      <c r="F216" s="4">
        <f>CHOOSE( CONTROL!$C$29, 6.4803, 6.476) * CHOOSE(CONTROL!$C$12, $D$11, 100%, $F$11)</f>
        <v>6.4802999999999997</v>
      </c>
      <c r="G216" s="8">
        <f>CHOOSE( CONTROL!$C$29, 5.3108, 5.3066) * CHOOSE( CONTROL!$C$12, $D$11, 100%, $F$11)</f>
        <v>5.3108000000000004</v>
      </c>
      <c r="H216" s="4">
        <f>CHOOSE( CONTROL!$C$29, 6.2405, 6.2364) * CHOOSE(CONTROL!$C$12, $D$11, 100%, $F$11)</f>
        <v>6.2404999999999999</v>
      </c>
      <c r="I216" s="8">
        <f>CHOOSE( CONTROL!$C$29, 5.2877, 5.2836) * CHOOSE(CONTROL!$C$12, $D$11, 100%, $F$11)</f>
        <v>5.2877000000000001</v>
      </c>
      <c r="J216" s="4">
        <f>CHOOSE( CONTROL!$C$29, 5.2095, 5.2054) * CHOOSE(CONTROL!$C$12, $D$11, 100%, $F$11)</f>
        <v>5.2095000000000002</v>
      </c>
      <c r="K216" s="4"/>
      <c r="L216" s="9">
        <v>29.520499999999998</v>
      </c>
      <c r="M216" s="9">
        <v>12.063700000000001</v>
      </c>
      <c r="N216" s="9">
        <v>4.9444999999999997</v>
      </c>
      <c r="O216" s="9">
        <v>0.37459999999999999</v>
      </c>
      <c r="P216" s="9">
        <v>1.2192000000000001</v>
      </c>
      <c r="Q216" s="9">
        <v>30.8704</v>
      </c>
      <c r="R216" s="9"/>
      <c r="S216" s="11"/>
    </row>
    <row r="217" spans="1:19" ht="15.75">
      <c r="A217" s="13">
        <v>48458</v>
      </c>
      <c r="B217" s="8">
        <f>CHOOSE( CONTROL!$C$29, 5.3279, 5.3237) * CHOOSE(CONTROL!$C$12, $D$11, 100%, $F$11)</f>
        <v>5.3278999999999996</v>
      </c>
      <c r="C217" s="8">
        <f>CHOOSE( CONTROL!$C$29, 5.3383, 5.3341) * CHOOSE(CONTROL!$C$12, $D$11, 100%, $F$11)</f>
        <v>5.3383000000000003</v>
      </c>
      <c r="D217" s="8">
        <f>CHOOSE( CONTROL!$C$29, 5.3609, 5.3567) * CHOOSE( CONTROL!$C$12, $D$11, 100%, $F$11)</f>
        <v>5.3609</v>
      </c>
      <c r="E217" s="12">
        <f>CHOOSE( CONTROL!$C$29, 5.3511, 5.3469) * CHOOSE( CONTROL!$C$12, $D$11, 100%, $F$11)</f>
        <v>5.3510999999999997</v>
      </c>
      <c r="F217" s="4">
        <f>CHOOSE( CONTROL!$C$29, 6.3665, 6.3622) * CHOOSE(CONTROL!$C$12, $D$11, 100%, $F$11)</f>
        <v>6.3665000000000003</v>
      </c>
      <c r="G217" s="8">
        <f>CHOOSE( CONTROL!$C$29, 5.1995, 5.1954) * CHOOSE( CONTROL!$C$12, $D$11, 100%, $F$11)</f>
        <v>5.1994999999999996</v>
      </c>
      <c r="H217" s="4">
        <f>CHOOSE( CONTROL!$C$29, 6.1296, 6.1255) * CHOOSE(CONTROL!$C$12, $D$11, 100%, $F$11)</f>
        <v>6.1295999999999999</v>
      </c>
      <c r="I217" s="8">
        <f>CHOOSE( CONTROL!$C$29, 5.1769, 5.1728) * CHOOSE(CONTROL!$C$12, $D$11, 100%, $F$11)</f>
        <v>5.1768999999999998</v>
      </c>
      <c r="J217" s="4">
        <f>CHOOSE( CONTROL!$C$29, 5.1004, 5.0964) * CHOOSE(CONTROL!$C$12, $D$11, 100%, $F$11)</f>
        <v>5.1003999999999996</v>
      </c>
      <c r="K217" s="4"/>
      <c r="L217" s="9">
        <v>28.568200000000001</v>
      </c>
      <c r="M217" s="9">
        <v>11.6745</v>
      </c>
      <c r="N217" s="9">
        <v>4.7850000000000001</v>
      </c>
      <c r="O217" s="9">
        <v>0.36249999999999999</v>
      </c>
      <c r="P217" s="9">
        <v>1.1798</v>
      </c>
      <c r="Q217" s="9">
        <v>29.874600000000001</v>
      </c>
      <c r="R217" s="9"/>
      <c r="S217" s="11"/>
    </row>
    <row r="218" spans="1:19" ht="15.75">
      <c r="A218" s="13">
        <v>48488</v>
      </c>
      <c r="B218" s="8">
        <f>5.5599 * CHOOSE(CONTROL!$C$12, $D$11, 100%, $F$11)</f>
        <v>5.5598999999999998</v>
      </c>
      <c r="C218" s="8">
        <f>5.5704 * CHOOSE(CONTROL!$C$12, $D$11, 100%, $F$11)</f>
        <v>5.5704000000000002</v>
      </c>
      <c r="D218" s="8">
        <f>5.5748 * CHOOSE( CONTROL!$C$12, $D$11, 100%, $F$11)</f>
        <v>5.5747999999999998</v>
      </c>
      <c r="E218" s="12">
        <f>5.5722 * CHOOSE( CONTROL!$C$12, $D$11, 100%, $F$11)</f>
        <v>5.5721999999999996</v>
      </c>
      <c r="F218" s="4">
        <f>6.5672 * CHOOSE(CONTROL!$C$12, $D$11, 100%, $F$11)</f>
        <v>6.5671999999999997</v>
      </c>
      <c r="G218" s="8">
        <f>5.416 * CHOOSE( CONTROL!$C$12, $D$11, 100%, $F$11)</f>
        <v>5.4160000000000004</v>
      </c>
      <c r="H218" s="4">
        <f>6.3253 * CHOOSE(CONTROL!$C$12, $D$11, 100%, $F$11)</f>
        <v>6.3253000000000004</v>
      </c>
      <c r="I218" s="8">
        <f>5.396 * CHOOSE(CONTROL!$C$12, $D$11, 100%, $F$11)</f>
        <v>5.3959999999999999</v>
      </c>
      <c r="J218" s="4">
        <f>5.3228 * CHOOSE(CONTROL!$C$12, $D$11, 100%, $F$11)</f>
        <v>5.3228</v>
      </c>
      <c r="K218" s="4"/>
      <c r="L218" s="9">
        <v>28.921800000000001</v>
      </c>
      <c r="M218" s="9">
        <v>12.063700000000001</v>
      </c>
      <c r="N218" s="9">
        <v>4.9444999999999997</v>
      </c>
      <c r="O218" s="9">
        <v>0.37459999999999999</v>
      </c>
      <c r="P218" s="9">
        <v>1.2192000000000001</v>
      </c>
      <c r="Q218" s="9">
        <v>30.8704</v>
      </c>
      <c r="R218" s="9"/>
      <c r="S218" s="11"/>
    </row>
    <row r="219" spans="1:19" ht="15.75">
      <c r="A219" s="13">
        <v>48519</v>
      </c>
      <c r="B219" s="8">
        <f>5.996 * CHOOSE(CONTROL!$C$12, $D$11, 100%, $F$11)</f>
        <v>5.9960000000000004</v>
      </c>
      <c r="C219" s="8">
        <f>6.0065 * CHOOSE(CONTROL!$C$12, $D$11, 100%, $F$11)</f>
        <v>6.0065</v>
      </c>
      <c r="D219" s="8">
        <f>5.9889 * CHOOSE( CONTROL!$C$12, $D$11, 100%, $F$11)</f>
        <v>5.9889000000000001</v>
      </c>
      <c r="E219" s="12">
        <f>5.9942 * CHOOSE( CONTROL!$C$12, $D$11, 100%, $F$11)</f>
        <v>5.9942000000000002</v>
      </c>
      <c r="F219" s="4">
        <f>6.9903 * CHOOSE(CONTROL!$C$12, $D$11, 100%, $F$11)</f>
        <v>6.9903000000000004</v>
      </c>
      <c r="G219" s="8">
        <f>5.8536 * CHOOSE( CONTROL!$C$12, $D$11, 100%, $F$11)</f>
        <v>5.8536000000000001</v>
      </c>
      <c r="H219" s="4">
        <f>6.7377 * CHOOSE(CONTROL!$C$12, $D$11, 100%, $F$11)</f>
        <v>6.7377000000000002</v>
      </c>
      <c r="I219" s="8">
        <f>5.8375 * CHOOSE(CONTROL!$C$12, $D$11, 100%, $F$11)</f>
        <v>5.8375000000000004</v>
      </c>
      <c r="J219" s="4">
        <f>5.7407 * CHOOSE(CONTROL!$C$12, $D$11, 100%, $F$11)</f>
        <v>5.7407000000000004</v>
      </c>
      <c r="K219" s="4"/>
      <c r="L219" s="9">
        <v>26.515499999999999</v>
      </c>
      <c r="M219" s="9">
        <v>11.6745</v>
      </c>
      <c r="N219" s="9">
        <v>4.7850000000000001</v>
      </c>
      <c r="O219" s="9">
        <v>0.36249999999999999</v>
      </c>
      <c r="P219" s="9">
        <v>1.2522</v>
      </c>
      <c r="Q219" s="9">
        <v>29.874600000000001</v>
      </c>
      <c r="R219" s="9"/>
      <c r="S219" s="11"/>
    </row>
    <row r="220" spans="1:19" ht="15.75">
      <c r="A220" s="13">
        <v>48549</v>
      </c>
      <c r="B220" s="8">
        <f>5.9851 * CHOOSE(CONTROL!$C$12, $D$11, 100%, $F$11)</f>
        <v>5.9851000000000001</v>
      </c>
      <c r="C220" s="8">
        <f>5.9956 * CHOOSE(CONTROL!$C$12, $D$11, 100%, $F$11)</f>
        <v>5.9955999999999996</v>
      </c>
      <c r="D220" s="8">
        <f>5.98 * CHOOSE( CONTROL!$C$12, $D$11, 100%, $F$11)</f>
        <v>5.98</v>
      </c>
      <c r="E220" s="12">
        <f>5.9846 * CHOOSE( CONTROL!$C$12, $D$11, 100%, $F$11)</f>
        <v>5.9846000000000004</v>
      </c>
      <c r="F220" s="4">
        <f>6.9794 * CHOOSE(CONTROL!$C$12, $D$11, 100%, $F$11)</f>
        <v>6.9794</v>
      </c>
      <c r="G220" s="8">
        <f>5.8445 * CHOOSE( CONTROL!$C$12, $D$11, 100%, $F$11)</f>
        <v>5.8445</v>
      </c>
      <c r="H220" s="4">
        <f>6.727 * CHOOSE(CONTROL!$C$12, $D$11, 100%, $F$11)</f>
        <v>6.7270000000000003</v>
      </c>
      <c r="I220" s="8">
        <f>5.8343 * CHOOSE(CONTROL!$C$12, $D$11, 100%, $F$11)</f>
        <v>5.8342999999999998</v>
      </c>
      <c r="J220" s="4">
        <f>5.7302 * CHOOSE(CONTROL!$C$12, $D$11, 100%, $F$11)</f>
        <v>5.7302</v>
      </c>
      <c r="K220" s="4"/>
      <c r="L220" s="9">
        <v>27.3993</v>
      </c>
      <c r="M220" s="9">
        <v>12.063700000000001</v>
      </c>
      <c r="N220" s="9">
        <v>4.9444999999999997</v>
      </c>
      <c r="O220" s="9">
        <v>0.37459999999999999</v>
      </c>
      <c r="P220" s="9">
        <v>1.2939000000000001</v>
      </c>
      <c r="Q220" s="9">
        <v>30.8704</v>
      </c>
      <c r="R220" s="9"/>
      <c r="S220" s="11"/>
    </row>
    <row r="221" spans="1:19" ht="15.75">
      <c r="A221" s="13">
        <v>48580</v>
      </c>
      <c r="B221" s="8">
        <f>6.1373 * CHOOSE(CONTROL!$C$12, $D$11, 100%, $F$11)</f>
        <v>6.1372999999999998</v>
      </c>
      <c r="C221" s="8">
        <f>6.1478 * CHOOSE(CONTROL!$C$12, $D$11, 100%, $F$11)</f>
        <v>6.1478000000000002</v>
      </c>
      <c r="D221" s="8">
        <f>6.1454 * CHOOSE( CONTROL!$C$12, $D$11, 100%, $F$11)</f>
        <v>6.1454000000000004</v>
      </c>
      <c r="E221" s="12">
        <f>6.1452 * CHOOSE( CONTROL!$C$12, $D$11, 100%, $F$11)</f>
        <v>6.1452</v>
      </c>
      <c r="F221" s="4">
        <f>7.1602 * CHOOSE(CONTROL!$C$12, $D$11, 100%, $F$11)</f>
        <v>7.1601999999999997</v>
      </c>
      <c r="G221" s="8">
        <f>6.01 * CHOOSE( CONTROL!$C$12, $D$11, 100%, $F$11)</f>
        <v>6.01</v>
      </c>
      <c r="H221" s="4">
        <f>6.9034 * CHOOSE(CONTROL!$C$12, $D$11, 100%, $F$11)</f>
        <v>6.9034000000000004</v>
      </c>
      <c r="I221" s="8">
        <f>5.9876 * CHOOSE(CONTROL!$C$12, $D$11, 100%, $F$11)</f>
        <v>5.9875999999999996</v>
      </c>
      <c r="J221" s="4">
        <f>5.876 * CHOOSE(CONTROL!$C$12, $D$11, 100%, $F$11)</f>
        <v>5.8760000000000003</v>
      </c>
      <c r="K221" s="4"/>
      <c r="L221" s="9">
        <v>27.3993</v>
      </c>
      <c r="M221" s="9">
        <v>12.063700000000001</v>
      </c>
      <c r="N221" s="9">
        <v>4.9444999999999997</v>
      </c>
      <c r="O221" s="9">
        <v>0.37459999999999999</v>
      </c>
      <c r="P221" s="9">
        <v>1.2939000000000001</v>
      </c>
      <c r="Q221" s="9">
        <v>30.773700000000002</v>
      </c>
      <c r="R221" s="9"/>
      <c r="S221" s="11"/>
    </row>
    <row r="222" spans="1:19" ht="15.75">
      <c r="A222" s="13">
        <v>48611</v>
      </c>
      <c r="B222" s="8">
        <f>5.7409 * CHOOSE(CONTROL!$C$12, $D$11, 100%, $F$11)</f>
        <v>5.7408999999999999</v>
      </c>
      <c r="C222" s="8">
        <f>5.7513 * CHOOSE(CONTROL!$C$12, $D$11, 100%, $F$11)</f>
        <v>5.7512999999999996</v>
      </c>
      <c r="D222" s="8">
        <f>5.7513 * CHOOSE( CONTROL!$C$12, $D$11, 100%, $F$11)</f>
        <v>5.7512999999999996</v>
      </c>
      <c r="E222" s="12">
        <f>5.7502 * CHOOSE( CONTROL!$C$12, $D$11, 100%, $F$11)</f>
        <v>5.7502000000000004</v>
      </c>
      <c r="F222" s="4">
        <f>6.756 * CHOOSE(CONTROL!$C$12, $D$11, 100%, $F$11)</f>
        <v>6.7560000000000002</v>
      </c>
      <c r="G222" s="8">
        <f>5.6234 * CHOOSE( CONTROL!$C$12, $D$11, 100%, $F$11)</f>
        <v>5.6234000000000002</v>
      </c>
      <c r="H222" s="4">
        <f>6.5093 * CHOOSE(CONTROL!$C$12, $D$11, 100%, $F$11)</f>
        <v>6.5092999999999996</v>
      </c>
      <c r="I222" s="8">
        <f>5.5966 * CHOOSE(CONTROL!$C$12, $D$11, 100%, $F$11)</f>
        <v>5.5965999999999996</v>
      </c>
      <c r="J222" s="4">
        <f>5.4962 * CHOOSE(CONTROL!$C$12, $D$11, 100%, $F$11)</f>
        <v>5.4962</v>
      </c>
      <c r="K222" s="4"/>
      <c r="L222" s="9">
        <v>24.747800000000002</v>
      </c>
      <c r="M222" s="9">
        <v>10.8962</v>
      </c>
      <c r="N222" s="9">
        <v>4.4660000000000002</v>
      </c>
      <c r="O222" s="9">
        <v>0.33829999999999999</v>
      </c>
      <c r="P222" s="9">
        <v>1.1687000000000001</v>
      </c>
      <c r="Q222" s="9">
        <v>27.7956</v>
      </c>
      <c r="R222" s="9"/>
      <c r="S222" s="11"/>
    </row>
    <row r="223" spans="1:19" ht="15.75">
      <c r="A223" s="13">
        <v>48639</v>
      </c>
      <c r="B223" s="8">
        <f>5.6188 * CHOOSE(CONTROL!$C$12, $D$11, 100%, $F$11)</f>
        <v>5.6188000000000002</v>
      </c>
      <c r="C223" s="8">
        <f>5.6292 * CHOOSE(CONTROL!$C$12, $D$11, 100%, $F$11)</f>
        <v>5.6292</v>
      </c>
      <c r="D223" s="8">
        <f>5.6091 * CHOOSE( CONTROL!$C$12, $D$11, 100%, $F$11)</f>
        <v>5.6090999999999998</v>
      </c>
      <c r="E223" s="12">
        <f>5.6153 * CHOOSE( CONTROL!$C$12, $D$11, 100%, $F$11)</f>
        <v>5.6153000000000004</v>
      </c>
      <c r="F223" s="4">
        <f>6.6177 * CHOOSE(CONTROL!$C$12, $D$11, 100%, $F$11)</f>
        <v>6.6177000000000001</v>
      </c>
      <c r="G223" s="8">
        <f>5.4839 * CHOOSE( CONTROL!$C$12, $D$11, 100%, $F$11)</f>
        <v>5.4839000000000002</v>
      </c>
      <c r="H223" s="4">
        <f>6.3745 * CHOOSE(CONTROL!$C$12, $D$11, 100%, $F$11)</f>
        <v>6.3745000000000003</v>
      </c>
      <c r="I223" s="8">
        <f>5.44 * CHOOSE(CONTROL!$C$12, $D$11, 100%, $F$11)</f>
        <v>5.44</v>
      </c>
      <c r="J223" s="4">
        <f>5.3792 * CHOOSE(CONTROL!$C$12, $D$11, 100%, $F$11)</f>
        <v>5.3792</v>
      </c>
      <c r="K223" s="4"/>
      <c r="L223" s="9">
        <v>27.3993</v>
      </c>
      <c r="M223" s="9">
        <v>12.063700000000001</v>
      </c>
      <c r="N223" s="9">
        <v>4.9444999999999997</v>
      </c>
      <c r="O223" s="9">
        <v>0.37459999999999999</v>
      </c>
      <c r="P223" s="9">
        <v>1.2939000000000001</v>
      </c>
      <c r="Q223" s="9">
        <v>30.773700000000002</v>
      </c>
      <c r="R223" s="9"/>
      <c r="S223" s="11"/>
    </row>
    <row r="224" spans="1:19" ht="15.75">
      <c r="A224" s="13">
        <v>48670</v>
      </c>
      <c r="B224" s="8">
        <f>5.7041 * CHOOSE(CONTROL!$C$12, $D$11, 100%, $F$11)</f>
        <v>5.7041000000000004</v>
      </c>
      <c r="C224" s="8">
        <f>5.7145 * CHOOSE(CONTROL!$C$12, $D$11, 100%, $F$11)</f>
        <v>5.7145000000000001</v>
      </c>
      <c r="D224" s="8">
        <f>5.7177 * CHOOSE( CONTROL!$C$12, $D$11, 100%, $F$11)</f>
        <v>5.7176999999999998</v>
      </c>
      <c r="E224" s="12">
        <f>5.7155 * CHOOSE( CONTROL!$C$12, $D$11, 100%, $F$11)</f>
        <v>5.7154999999999996</v>
      </c>
      <c r="F224" s="4">
        <f>6.7114 * CHOOSE(CONTROL!$C$12, $D$11, 100%, $F$11)</f>
        <v>6.7114000000000003</v>
      </c>
      <c r="G224" s="8">
        <f>5.5549 * CHOOSE( CONTROL!$C$12, $D$11, 100%, $F$11)</f>
        <v>5.5548999999999999</v>
      </c>
      <c r="H224" s="4">
        <f>6.4658 * CHOOSE(CONTROL!$C$12, $D$11, 100%, $F$11)</f>
        <v>6.4657999999999998</v>
      </c>
      <c r="I224" s="8">
        <f>5.5119 * CHOOSE(CONTROL!$C$12, $D$11, 100%, $F$11)</f>
        <v>5.5118999999999998</v>
      </c>
      <c r="J224" s="4">
        <f>5.4609 * CHOOSE(CONTROL!$C$12, $D$11, 100%, $F$11)</f>
        <v>5.4608999999999996</v>
      </c>
      <c r="K224" s="4"/>
      <c r="L224" s="9">
        <v>27.988800000000001</v>
      </c>
      <c r="M224" s="9">
        <v>11.6745</v>
      </c>
      <c r="N224" s="9">
        <v>4.7850000000000001</v>
      </c>
      <c r="O224" s="9">
        <v>0.36249999999999999</v>
      </c>
      <c r="P224" s="9">
        <v>1.1798</v>
      </c>
      <c r="Q224" s="9">
        <v>29.780999999999999</v>
      </c>
      <c r="R224" s="9"/>
      <c r="S224" s="11"/>
    </row>
    <row r="225" spans="1:19" ht="15.75">
      <c r="A225" s="13">
        <v>48700</v>
      </c>
      <c r="B225" s="8">
        <f>CHOOSE( CONTROL!$C$29, 5.8602, 5.856) * CHOOSE(CONTROL!$C$12, $D$11, 100%, $F$11)</f>
        <v>5.8601999999999999</v>
      </c>
      <c r="C225" s="8">
        <f>CHOOSE( CONTROL!$C$29, 5.8706, 5.8664) * CHOOSE(CONTROL!$C$12, $D$11, 100%, $F$11)</f>
        <v>5.8705999999999996</v>
      </c>
      <c r="D225" s="8">
        <f>CHOOSE( CONTROL!$C$29, 5.8486, 5.8443) * CHOOSE( CONTROL!$C$12, $D$11, 100%, $F$11)</f>
        <v>5.8486000000000002</v>
      </c>
      <c r="E225" s="12">
        <f>CHOOSE( CONTROL!$C$29, 5.855, 5.8507) * CHOOSE( CONTROL!$C$12, $D$11, 100%, $F$11)</f>
        <v>5.8550000000000004</v>
      </c>
      <c r="F225" s="4">
        <f>CHOOSE( CONTROL!$C$29, 6.8351, 6.8309) * CHOOSE(CONTROL!$C$12, $D$11, 100%, $F$11)</f>
        <v>6.8350999999999997</v>
      </c>
      <c r="G225" s="8">
        <f>CHOOSE( CONTROL!$C$29, 5.6883, 5.6842) * CHOOSE( CONTROL!$C$12, $D$11, 100%, $F$11)</f>
        <v>5.6882999999999999</v>
      </c>
      <c r="H225" s="4">
        <f>CHOOSE( CONTROL!$C$29, 6.5864, 6.5823) * CHOOSE(CONTROL!$C$12, $D$11, 100%, $F$11)</f>
        <v>6.5864000000000003</v>
      </c>
      <c r="I225" s="8">
        <f>CHOOSE( CONTROL!$C$29, 5.64, 5.6359) * CHOOSE(CONTROL!$C$12, $D$11, 100%, $F$11)</f>
        <v>5.64</v>
      </c>
      <c r="J225" s="4">
        <f>CHOOSE( CONTROL!$C$29, 5.6105, 5.6064) * CHOOSE(CONTROL!$C$12, $D$11, 100%, $F$11)</f>
        <v>5.6105</v>
      </c>
      <c r="K225" s="4"/>
      <c r="L225" s="9">
        <v>29.520499999999998</v>
      </c>
      <c r="M225" s="9">
        <v>12.063700000000001</v>
      </c>
      <c r="N225" s="9">
        <v>4.9444999999999997</v>
      </c>
      <c r="O225" s="9">
        <v>0.37459999999999999</v>
      </c>
      <c r="P225" s="9">
        <v>1.2192000000000001</v>
      </c>
      <c r="Q225" s="9">
        <v>30.773700000000002</v>
      </c>
      <c r="R225" s="9"/>
      <c r="S225" s="11"/>
    </row>
    <row r="226" spans="1:19" ht="15.75">
      <c r="A226" s="13">
        <v>48731</v>
      </c>
      <c r="B226" s="8">
        <f>CHOOSE( CONTROL!$C$29, 5.7661, 5.7619) * CHOOSE(CONTROL!$C$12, $D$11, 100%, $F$11)</f>
        <v>5.7660999999999998</v>
      </c>
      <c r="C226" s="8">
        <f>CHOOSE( CONTROL!$C$29, 5.7766, 5.7723) * CHOOSE(CONTROL!$C$12, $D$11, 100%, $F$11)</f>
        <v>5.7766000000000002</v>
      </c>
      <c r="D226" s="8">
        <f>CHOOSE( CONTROL!$C$29, 5.7489, 5.7447) * CHOOSE( CONTROL!$C$12, $D$11, 100%, $F$11)</f>
        <v>5.7488999999999999</v>
      </c>
      <c r="E226" s="12">
        <f>CHOOSE( CONTROL!$C$29, 5.7573, 5.7531) * CHOOSE( CONTROL!$C$12, $D$11, 100%, $F$11)</f>
        <v>5.7572999999999999</v>
      </c>
      <c r="F226" s="4">
        <f>CHOOSE( CONTROL!$C$29, 6.7306, 6.7264) * CHOOSE(CONTROL!$C$12, $D$11, 100%, $F$11)</f>
        <v>6.7305999999999999</v>
      </c>
      <c r="G226" s="8">
        <f>CHOOSE( CONTROL!$C$29, 5.5954, 5.5912) * CHOOSE( CONTROL!$C$12, $D$11, 100%, $F$11)</f>
        <v>5.5953999999999997</v>
      </c>
      <c r="H226" s="4">
        <f>CHOOSE( CONTROL!$C$29, 6.4845, 6.4804) * CHOOSE(CONTROL!$C$12, $D$11, 100%, $F$11)</f>
        <v>6.4844999999999997</v>
      </c>
      <c r="I226" s="8">
        <f>CHOOSE( CONTROL!$C$29, 5.552, 5.5479) * CHOOSE(CONTROL!$C$12, $D$11, 100%, $F$11)</f>
        <v>5.5519999999999996</v>
      </c>
      <c r="J226" s="4">
        <f>CHOOSE( CONTROL!$C$29, 5.5204, 5.5163) * CHOOSE(CONTROL!$C$12, $D$11, 100%, $F$11)</f>
        <v>5.5204000000000004</v>
      </c>
      <c r="K226" s="4"/>
      <c r="L226" s="9">
        <v>28.568200000000001</v>
      </c>
      <c r="M226" s="9">
        <v>11.6745</v>
      </c>
      <c r="N226" s="9">
        <v>4.7850000000000001</v>
      </c>
      <c r="O226" s="9">
        <v>0.36249999999999999</v>
      </c>
      <c r="P226" s="9">
        <v>1.1798</v>
      </c>
      <c r="Q226" s="9">
        <v>29.780999999999999</v>
      </c>
      <c r="R226" s="9"/>
      <c r="S226" s="11"/>
    </row>
    <row r="227" spans="1:19" ht="15.75">
      <c r="A227" s="13">
        <v>48761</v>
      </c>
      <c r="B227" s="8">
        <f>CHOOSE( CONTROL!$C$29, 6.0139, 6.0096) * CHOOSE(CONTROL!$C$12, $D$11, 100%, $F$11)</f>
        <v>6.0138999999999996</v>
      </c>
      <c r="C227" s="8">
        <f>CHOOSE( CONTROL!$C$29, 6.0243, 6.02) * CHOOSE(CONTROL!$C$12, $D$11, 100%, $F$11)</f>
        <v>6.0243000000000002</v>
      </c>
      <c r="D227" s="8">
        <f>CHOOSE( CONTROL!$C$29, 6.0304, 6.0262) * CHOOSE( CONTROL!$C$12, $D$11, 100%, $F$11)</f>
        <v>6.0304000000000002</v>
      </c>
      <c r="E227" s="12">
        <f>CHOOSE( CONTROL!$C$29, 6.0266, 6.0224) * CHOOSE( CONTROL!$C$12, $D$11, 100%, $F$11)</f>
        <v>6.0266000000000002</v>
      </c>
      <c r="F227" s="4">
        <f>CHOOSE( CONTROL!$C$29, 7.0237, 7.0195) * CHOOSE(CONTROL!$C$12, $D$11, 100%, $F$11)</f>
        <v>7.0236999999999998</v>
      </c>
      <c r="G227" s="8">
        <f>CHOOSE( CONTROL!$C$29, 5.8629, 5.8587) * CHOOSE( CONTROL!$C$12, $D$11, 100%, $F$11)</f>
        <v>5.8628999999999998</v>
      </c>
      <c r="H227" s="4">
        <f>CHOOSE( CONTROL!$C$29, 6.7703, 6.7661) * CHOOSE(CONTROL!$C$12, $D$11, 100%, $F$11)</f>
        <v>6.7702999999999998</v>
      </c>
      <c r="I227" s="8">
        <f>CHOOSE( CONTROL!$C$29, 5.8447, 5.8407) * CHOOSE(CONTROL!$C$12, $D$11, 100%, $F$11)</f>
        <v>5.8446999999999996</v>
      </c>
      <c r="J227" s="4">
        <f>CHOOSE( CONTROL!$C$29, 5.7577, 5.7537) * CHOOSE(CONTROL!$C$12, $D$11, 100%, $F$11)</f>
        <v>5.7576999999999998</v>
      </c>
      <c r="K227" s="4"/>
      <c r="L227" s="9">
        <v>29.520499999999998</v>
      </c>
      <c r="M227" s="9">
        <v>12.063700000000001</v>
      </c>
      <c r="N227" s="9">
        <v>4.9444999999999997</v>
      </c>
      <c r="O227" s="9">
        <v>0.37459999999999999</v>
      </c>
      <c r="P227" s="9">
        <v>1.2192000000000001</v>
      </c>
      <c r="Q227" s="9">
        <v>30.773700000000002</v>
      </c>
      <c r="R227" s="9"/>
      <c r="S227" s="11"/>
    </row>
    <row r="228" spans="1:19" ht="15.75">
      <c r="A228" s="13">
        <v>48792</v>
      </c>
      <c r="B228" s="8">
        <f>CHOOSE( CONTROL!$C$29, 5.5503, 5.5461) * CHOOSE(CONTROL!$C$12, $D$11, 100%, $F$11)</f>
        <v>5.5503</v>
      </c>
      <c r="C228" s="8">
        <f>CHOOSE( CONTROL!$C$29, 5.5608, 5.5565) * CHOOSE(CONTROL!$C$12, $D$11, 100%, $F$11)</f>
        <v>5.5608000000000004</v>
      </c>
      <c r="D228" s="8">
        <f>CHOOSE( CONTROL!$C$29, 5.5834, 5.5791) * CHOOSE( CONTROL!$C$12, $D$11, 100%, $F$11)</f>
        <v>5.5834000000000001</v>
      </c>
      <c r="E228" s="12">
        <f>CHOOSE( CONTROL!$C$29, 5.5736, 5.5693) * CHOOSE( CONTROL!$C$12, $D$11, 100%, $F$11)</f>
        <v>5.5735999999999999</v>
      </c>
      <c r="F228" s="4">
        <f>CHOOSE( CONTROL!$C$29, 6.5889, 6.5847) * CHOOSE(CONTROL!$C$12, $D$11, 100%, $F$11)</f>
        <v>6.5888999999999998</v>
      </c>
      <c r="G228" s="8">
        <f>CHOOSE( CONTROL!$C$29, 5.4167, 5.4125) * CHOOSE( CONTROL!$C$12, $D$11, 100%, $F$11)</f>
        <v>5.4166999999999996</v>
      </c>
      <c r="H228" s="4">
        <f>CHOOSE( CONTROL!$C$29, 6.3464, 6.3423) * CHOOSE(CONTROL!$C$12, $D$11, 100%, $F$11)</f>
        <v>6.3464</v>
      </c>
      <c r="I228" s="8">
        <f>CHOOSE( CONTROL!$C$29, 5.3919, 5.3878) * CHOOSE(CONTROL!$C$12, $D$11, 100%, $F$11)</f>
        <v>5.3918999999999997</v>
      </c>
      <c r="J228" s="4">
        <f>CHOOSE( CONTROL!$C$29, 5.3136, 5.3095) * CHOOSE(CONTROL!$C$12, $D$11, 100%, $F$11)</f>
        <v>5.3136000000000001</v>
      </c>
      <c r="K228" s="4"/>
      <c r="L228" s="9">
        <v>29.520499999999998</v>
      </c>
      <c r="M228" s="9">
        <v>12.063700000000001</v>
      </c>
      <c r="N228" s="9">
        <v>4.9444999999999997</v>
      </c>
      <c r="O228" s="9">
        <v>0.37459999999999999</v>
      </c>
      <c r="P228" s="9">
        <v>1.2192000000000001</v>
      </c>
      <c r="Q228" s="9">
        <v>30.773700000000002</v>
      </c>
      <c r="R228" s="9"/>
      <c r="S228" s="11"/>
    </row>
    <row r="229" spans="1:19" ht="15.75">
      <c r="A229" s="13">
        <v>48823</v>
      </c>
      <c r="B229" s="8">
        <f>CHOOSE( CONTROL!$C$29, 5.4343, 5.43) * CHOOSE(CONTROL!$C$12, $D$11, 100%, $F$11)</f>
        <v>5.4343000000000004</v>
      </c>
      <c r="C229" s="8">
        <f>CHOOSE( CONTROL!$C$29, 5.4447, 5.4405) * CHOOSE(CONTROL!$C$12, $D$11, 100%, $F$11)</f>
        <v>5.4447000000000001</v>
      </c>
      <c r="D229" s="8">
        <f>CHOOSE( CONTROL!$C$29, 5.4673, 5.463) * CHOOSE( CONTROL!$C$12, $D$11, 100%, $F$11)</f>
        <v>5.4672999999999998</v>
      </c>
      <c r="E229" s="12">
        <f>CHOOSE( CONTROL!$C$29, 5.4575, 5.4532) * CHOOSE( CONTROL!$C$12, $D$11, 100%, $F$11)</f>
        <v>5.4574999999999996</v>
      </c>
      <c r="F229" s="4">
        <f>CHOOSE( CONTROL!$C$29, 6.4728, 6.4686) * CHOOSE(CONTROL!$C$12, $D$11, 100%, $F$11)</f>
        <v>6.4728000000000003</v>
      </c>
      <c r="G229" s="8">
        <f>CHOOSE( CONTROL!$C$29, 5.3032, 5.2991) * CHOOSE( CONTROL!$C$12, $D$11, 100%, $F$11)</f>
        <v>5.3032000000000004</v>
      </c>
      <c r="H229" s="4">
        <f>CHOOSE( CONTROL!$C$29, 6.2333, 6.2292) * CHOOSE(CONTROL!$C$12, $D$11, 100%, $F$11)</f>
        <v>6.2332999999999998</v>
      </c>
      <c r="I229" s="8">
        <f>CHOOSE( CONTROL!$C$29, 5.2789, 5.2748) * CHOOSE(CONTROL!$C$12, $D$11, 100%, $F$11)</f>
        <v>5.2789000000000001</v>
      </c>
      <c r="J229" s="4">
        <f>CHOOSE( CONTROL!$C$29, 5.2024, 5.1983) * CHOOSE(CONTROL!$C$12, $D$11, 100%, $F$11)</f>
        <v>5.2023999999999999</v>
      </c>
      <c r="K229" s="4"/>
      <c r="L229" s="9">
        <v>28.568200000000001</v>
      </c>
      <c r="M229" s="9">
        <v>11.6745</v>
      </c>
      <c r="N229" s="9">
        <v>4.7850000000000001</v>
      </c>
      <c r="O229" s="9">
        <v>0.36249999999999999</v>
      </c>
      <c r="P229" s="9">
        <v>1.1798</v>
      </c>
      <c r="Q229" s="9">
        <v>29.780999999999999</v>
      </c>
      <c r="R229" s="9"/>
      <c r="S229" s="11"/>
    </row>
    <row r="230" spans="1:19" ht="15.75">
      <c r="A230" s="13">
        <v>48853</v>
      </c>
      <c r="B230" s="8">
        <f>5.671 * CHOOSE(CONTROL!$C$12, $D$11, 100%, $F$11)</f>
        <v>5.6710000000000003</v>
      </c>
      <c r="C230" s="8">
        <f>5.6815 * CHOOSE(CONTROL!$C$12, $D$11, 100%, $F$11)</f>
        <v>5.6814999999999998</v>
      </c>
      <c r="D230" s="8">
        <f>5.6859 * CHOOSE( CONTROL!$C$12, $D$11, 100%, $F$11)</f>
        <v>5.6859000000000002</v>
      </c>
      <c r="E230" s="12">
        <f>5.6833 * CHOOSE( CONTROL!$C$12, $D$11, 100%, $F$11)</f>
        <v>5.6833</v>
      </c>
      <c r="F230" s="4">
        <f>6.6783 * CHOOSE(CONTROL!$C$12, $D$11, 100%, $F$11)</f>
        <v>6.6783000000000001</v>
      </c>
      <c r="G230" s="8">
        <f>5.5243 * CHOOSE( CONTROL!$C$12, $D$11, 100%, $F$11)</f>
        <v>5.5243000000000002</v>
      </c>
      <c r="H230" s="4">
        <f>6.4336 * CHOOSE(CONTROL!$C$12, $D$11, 100%, $F$11)</f>
        <v>6.4336000000000002</v>
      </c>
      <c r="I230" s="8">
        <f>5.5025 * CHOOSE(CONTROL!$C$12, $D$11, 100%, $F$11)</f>
        <v>5.5025000000000004</v>
      </c>
      <c r="J230" s="4">
        <f>5.4292 * CHOOSE(CONTROL!$C$12, $D$11, 100%, $F$11)</f>
        <v>5.4291999999999998</v>
      </c>
      <c r="K230" s="4"/>
      <c r="L230" s="9">
        <v>28.921800000000001</v>
      </c>
      <c r="M230" s="9">
        <v>12.063700000000001</v>
      </c>
      <c r="N230" s="9">
        <v>4.9444999999999997</v>
      </c>
      <c r="O230" s="9">
        <v>0.37459999999999999</v>
      </c>
      <c r="P230" s="9">
        <v>1.2192000000000001</v>
      </c>
      <c r="Q230" s="9">
        <v>30.773700000000002</v>
      </c>
      <c r="R230" s="9"/>
      <c r="S230" s="11"/>
    </row>
    <row r="231" spans="1:19" ht="15.75">
      <c r="A231" s="13">
        <v>48884</v>
      </c>
      <c r="B231" s="8">
        <f>6.1159 * CHOOSE(CONTROL!$C$12, $D$11, 100%, $F$11)</f>
        <v>6.1158999999999999</v>
      </c>
      <c r="C231" s="8">
        <f>6.1263 * CHOOSE(CONTROL!$C$12, $D$11, 100%, $F$11)</f>
        <v>6.1262999999999996</v>
      </c>
      <c r="D231" s="8">
        <f>6.1087 * CHOOSE( CONTROL!$C$12, $D$11, 100%, $F$11)</f>
        <v>6.1086999999999998</v>
      </c>
      <c r="E231" s="12">
        <f>6.114 * CHOOSE( CONTROL!$C$12, $D$11, 100%, $F$11)</f>
        <v>6.1139999999999999</v>
      </c>
      <c r="F231" s="4">
        <f>7.1101 * CHOOSE(CONTROL!$C$12, $D$11, 100%, $F$11)</f>
        <v>7.1101000000000001</v>
      </c>
      <c r="G231" s="8">
        <f>5.9704 * CHOOSE( CONTROL!$C$12, $D$11, 100%, $F$11)</f>
        <v>5.9703999999999997</v>
      </c>
      <c r="H231" s="4">
        <f>6.8545 * CHOOSE(CONTROL!$C$12, $D$11, 100%, $F$11)</f>
        <v>6.8544999999999998</v>
      </c>
      <c r="I231" s="8">
        <f>5.9524 * CHOOSE(CONTROL!$C$12, $D$11, 100%, $F$11)</f>
        <v>5.9523999999999999</v>
      </c>
      <c r="J231" s="4">
        <f>5.8555 * CHOOSE(CONTROL!$C$12, $D$11, 100%, $F$11)</f>
        <v>5.8555000000000001</v>
      </c>
      <c r="K231" s="4"/>
      <c r="L231" s="9">
        <v>26.515499999999999</v>
      </c>
      <c r="M231" s="9">
        <v>11.6745</v>
      </c>
      <c r="N231" s="9">
        <v>4.7850000000000001</v>
      </c>
      <c r="O231" s="9">
        <v>0.36249999999999999</v>
      </c>
      <c r="P231" s="9">
        <v>1.2522</v>
      </c>
      <c r="Q231" s="9">
        <v>29.780999999999999</v>
      </c>
      <c r="R231" s="9"/>
      <c r="S231" s="11"/>
    </row>
    <row r="232" spans="1:19" ht="15.75">
      <c r="A232" s="13">
        <v>48914</v>
      </c>
      <c r="B232" s="8">
        <f>6.1048 * CHOOSE(CONTROL!$C$12, $D$11, 100%, $F$11)</f>
        <v>6.1048</v>
      </c>
      <c r="C232" s="8">
        <f>6.1152 * CHOOSE(CONTROL!$C$12, $D$11, 100%, $F$11)</f>
        <v>6.1151999999999997</v>
      </c>
      <c r="D232" s="8">
        <f>6.0996 * CHOOSE( CONTROL!$C$12, $D$11, 100%, $F$11)</f>
        <v>6.0995999999999997</v>
      </c>
      <c r="E232" s="12">
        <f>6.1042 * CHOOSE( CONTROL!$C$12, $D$11, 100%, $F$11)</f>
        <v>6.1041999999999996</v>
      </c>
      <c r="F232" s="4">
        <f>7.099 * CHOOSE(CONTROL!$C$12, $D$11, 100%, $F$11)</f>
        <v>7.0990000000000002</v>
      </c>
      <c r="G232" s="8">
        <f>5.9611 * CHOOSE( CONTROL!$C$12, $D$11, 100%, $F$11)</f>
        <v>5.9611000000000001</v>
      </c>
      <c r="H232" s="4">
        <f>6.8436 * CHOOSE(CONTROL!$C$12, $D$11, 100%, $F$11)</f>
        <v>6.8436000000000003</v>
      </c>
      <c r="I232" s="8">
        <f>5.949 * CHOOSE(CONTROL!$C$12, $D$11, 100%, $F$11)</f>
        <v>5.9489999999999998</v>
      </c>
      <c r="J232" s="4">
        <f>5.8448 * CHOOSE(CONTROL!$C$12, $D$11, 100%, $F$11)</f>
        <v>5.8448000000000002</v>
      </c>
      <c r="K232" s="4"/>
      <c r="L232" s="9">
        <v>27.3993</v>
      </c>
      <c r="M232" s="9">
        <v>12.063700000000001</v>
      </c>
      <c r="N232" s="9">
        <v>4.9444999999999997</v>
      </c>
      <c r="O232" s="9">
        <v>0.37459999999999999</v>
      </c>
      <c r="P232" s="9">
        <v>1.2939000000000001</v>
      </c>
      <c r="Q232" s="9">
        <v>30.773700000000002</v>
      </c>
      <c r="R232" s="9"/>
      <c r="S232" s="11"/>
    </row>
    <row r="233" spans="1:19" ht="15.75">
      <c r="A233" s="13">
        <v>48945</v>
      </c>
      <c r="B233" s="8">
        <f>6.26 * CHOOSE(CONTROL!$C$12, $D$11, 100%, $F$11)</f>
        <v>6.26</v>
      </c>
      <c r="C233" s="8">
        <f>6.2704 * CHOOSE(CONTROL!$C$12, $D$11, 100%, $F$11)</f>
        <v>6.2704000000000004</v>
      </c>
      <c r="D233" s="8">
        <f>6.2681 * CHOOSE( CONTROL!$C$12, $D$11, 100%, $F$11)</f>
        <v>6.2680999999999996</v>
      </c>
      <c r="E233" s="12">
        <f>6.2678 * CHOOSE( CONTROL!$C$12, $D$11, 100%, $F$11)</f>
        <v>6.2678000000000003</v>
      </c>
      <c r="F233" s="4">
        <f>7.2829 * CHOOSE(CONTROL!$C$12, $D$11, 100%, $F$11)</f>
        <v>7.2828999999999997</v>
      </c>
      <c r="G233" s="8">
        <f>6.1295 * CHOOSE( CONTROL!$C$12, $D$11, 100%, $F$11)</f>
        <v>6.1295000000000002</v>
      </c>
      <c r="H233" s="4">
        <f>7.0229 * CHOOSE(CONTROL!$C$12, $D$11, 100%, $F$11)</f>
        <v>7.0228999999999999</v>
      </c>
      <c r="I233" s="8">
        <f>6.1051 * CHOOSE(CONTROL!$C$12, $D$11, 100%, $F$11)</f>
        <v>6.1051000000000002</v>
      </c>
      <c r="J233" s="4">
        <f>5.9936 * CHOOSE(CONTROL!$C$12, $D$11, 100%, $F$11)</f>
        <v>5.9935999999999998</v>
      </c>
      <c r="K233" s="4"/>
      <c r="L233" s="9">
        <v>27.3993</v>
      </c>
      <c r="M233" s="9">
        <v>12.063700000000001</v>
      </c>
      <c r="N233" s="9">
        <v>4.9444999999999997</v>
      </c>
      <c r="O233" s="9">
        <v>0.37459999999999999</v>
      </c>
      <c r="P233" s="9">
        <v>1.2939000000000001</v>
      </c>
      <c r="Q233" s="9">
        <v>30.7105</v>
      </c>
      <c r="R233" s="9"/>
      <c r="S233" s="11"/>
    </row>
    <row r="234" spans="1:19" ht="15.75">
      <c r="A234" s="13">
        <v>48976</v>
      </c>
      <c r="B234" s="8">
        <f>5.8556 * CHOOSE(CONTROL!$C$12, $D$11, 100%, $F$11)</f>
        <v>5.8555999999999999</v>
      </c>
      <c r="C234" s="8">
        <f>5.866 * CHOOSE(CONTROL!$C$12, $D$11, 100%, $F$11)</f>
        <v>5.8659999999999997</v>
      </c>
      <c r="D234" s="8">
        <f>5.866 * CHOOSE( CONTROL!$C$12, $D$11, 100%, $F$11)</f>
        <v>5.8659999999999997</v>
      </c>
      <c r="E234" s="12">
        <f>5.8649 * CHOOSE( CONTROL!$C$12, $D$11, 100%, $F$11)</f>
        <v>5.8648999999999996</v>
      </c>
      <c r="F234" s="4">
        <f>6.8707 * CHOOSE(CONTROL!$C$12, $D$11, 100%, $F$11)</f>
        <v>6.8707000000000003</v>
      </c>
      <c r="G234" s="8">
        <f>5.7352 * CHOOSE( CONTROL!$C$12, $D$11, 100%, $F$11)</f>
        <v>5.7351999999999999</v>
      </c>
      <c r="H234" s="4">
        <f>6.6211 * CHOOSE(CONTROL!$C$12, $D$11, 100%, $F$11)</f>
        <v>6.6211000000000002</v>
      </c>
      <c r="I234" s="8">
        <f>5.7065 * CHOOSE(CONTROL!$C$12, $D$11, 100%, $F$11)</f>
        <v>5.7065000000000001</v>
      </c>
      <c r="J234" s="4">
        <f>5.6061 * CHOOSE(CONTROL!$C$12, $D$11, 100%, $F$11)</f>
        <v>5.6060999999999996</v>
      </c>
      <c r="K234" s="4"/>
      <c r="L234" s="9">
        <v>24.747800000000002</v>
      </c>
      <c r="M234" s="9">
        <v>10.8962</v>
      </c>
      <c r="N234" s="9">
        <v>4.4660000000000002</v>
      </c>
      <c r="O234" s="9">
        <v>0.33829999999999999</v>
      </c>
      <c r="P234" s="9">
        <v>1.1687000000000001</v>
      </c>
      <c r="Q234" s="9">
        <v>27.738499999999998</v>
      </c>
      <c r="R234" s="9"/>
      <c r="S234" s="11"/>
    </row>
    <row r="235" spans="1:19" ht="15.75">
      <c r="A235" s="13">
        <v>49004</v>
      </c>
      <c r="B235" s="8">
        <f>5.7311 * CHOOSE(CONTROL!$C$12, $D$11, 100%, $F$11)</f>
        <v>5.7310999999999996</v>
      </c>
      <c r="C235" s="8">
        <f>5.7415 * CHOOSE(CONTROL!$C$12, $D$11, 100%, $F$11)</f>
        <v>5.7415000000000003</v>
      </c>
      <c r="D235" s="8">
        <f>5.7213 * CHOOSE( CONTROL!$C$12, $D$11, 100%, $F$11)</f>
        <v>5.7213000000000003</v>
      </c>
      <c r="E235" s="12">
        <f>5.7276 * CHOOSE( CONTROL!$C$12, $D$11, 100%, $F$11)</f>
        <v>5.7275999999999998</v>
      </c>
      <c r="F235" s="4">
        <f>6.73 * CHOOSE(CONTROL!$C$12, $D$11, 100%, $F$11)</f>
        <v>6.73</v>
      </c>
      <c r="G235" s="8">
        <f>5.5933 * CHOOSE( CONTROL!$C$12, $D$11, 100%, $F$11)</f>
        <v>5.5933000000000002</v>
      </c>
      <c r="H235" s="4">
        <f>6.4839 * CHOOSE(CONTROL!$C$12, $D$11, 100%, $F$11)</f>
        <v>6.4839000000000002</v>
      </c>
      <c r="I235" s="8">
        <f>5.5476 * CHOOSE(CONTROL!$C$12, $D$11, 100%, $F$11)</f>
        <v>5.5476000000000001</v>
      </c>
      <c r="J235" s="4">
        <f>5.4867 * CHOOSE(CONTROL!$C$12, $D$11, 100%, $F$11)</f>
        <v>5.4866999999999999</v>
      </c>
      <c r="K235" s="4"/>
      <c r="L235" s="9">
        <v>27.3993</v>
      </c>
      <c r="M235" s="9">
        <v>12.063700000000001</v>
      </c>
      <c r="N235" s="9">
        <v>4.9444999999999997</v>
      </c>
      <c r="O235" s="9">
        <v>0.37459999999999999</v>
      </c>
      <c r="P235" s="9">
        <v>1.2939000000000001</v>
      </c>
      <c r="Q235" s="9">
        <v>30.7105</v>
      </c>
      <c r="R235" s="9"/>
      <c r="S235" s="11"/>
    </row>
    <row r="236" spans="1:19" ht="15.75">
      <c r="A236" s="13">
        <v>49035</v>
      </c>
      <c r="B236" s="8">
        <f>5.8181 * CHOOSE(CONTROL!$C$12, $D$11, 100%, $F$11)</f>
        <v>5.8181000000000003</v>
      </c>
      <c r="C236" s="8">
        <f>5.8285 * CHOOSE(CONTROL!$C$12, $D$11, 100%, $F$11)</f>
        <v>5.8285</v>
      </c>
      <c r="D236" s="8">
        <f>5.8317 * CHOOSE( CONTROL!$C$12, $D$11, 100%, $F$11)</f>
        <v>5.8316999999999997</v>
      </c>
      <c r="E236" s="12">
        <f>5.8295 * CHOOSE( CONTROL!$C$12, $D$11, 100%, $F$11)</f>
        <v>5.8295000000000003</v>
      </c>
      <c r="F236" s="4">
        <f>6.8253 * CHOOSE(CONTROL!$C$12, $D$11, 100%, $F$11)</f>
        <v>6.8253000000000004</v>
      </c>
      <c r="G236" s="8">
        <f>5.666 * CHOOSE( CONTROL!$C$12, $D$11, 100%, $F$11)</f>
        <v>5.6660000000000004</v>
      </c>
      <c r="H236" s="4">
        <f>6.5769 * CHOOSE(CONTROL!$C$12, $D$11, 100%, $F$11)</f>
        <v>6.5769000000000002</v>
      </c>
      <c r="I236" s="8">
        <f>5.6212 * CHOOSE(CONTROL!$C$12, $D$11, 100%, $F$11)</f>
        <v>5.6212</v>
      </c>
      <c r="J236" s="4">
        <f>5.5701 * CHOOSE(CONTROL!$C$12, $D$11, 100%, $F$11)</f>
        <v>5.5701000000000001</v>
      </c>
      <c r="K236" s="4"/>
      <c r="L236" s="9">
        <v>27.988800000000001</v>
      </c>
      <c r="M236" s="9">
        <v>11.6745</v>
      </c>
      <c r="N236" s="9">
        <v>4.7850000000000001</v>
      </c>
      <c r="O236" s="9">
        <v>0.36249999999999999</v>
      </c>
      <c r="P236" s="9">
        <v>1.1798</v>
      </c>
      <c r="Q236" s="9">
        <v>29.719799999999999</v>
      </c>
      <c r="R236" s="9"/>
      <c r="S236" s="11"/>
    </row>
    <row r="237" spans="1:19" ht="15.75">
      <c r="A237" s="13">
        <v>49065</v>
      </c>
      <c r="B237" s="8">
        <f>CHOOSE( CONTROL!$C$29, 5.9772, 5.973) * CHOOSE(CONTROL!$C$12, $D$11, 100%, $F$11)</f>
        <v>5.9771999999999998</v>
      </c>
      <c r="C237" s="8">
        <f>CHOOSE( CONTROL!$C$29, 5.9877, 5.9834) * CHOOSE(CONTROL!$C$12, $D$11, 100%, $F$11)</f>
        <v>5.9877000000000002</v>
      </c>
      <c r="D237" s="8">
        <f>CHOOSE( CONTROL!$C$29, 5.9656, 5.9613) * CHOOSE( CONTROL!$C$12, $D$11, 100%, $F$11)</f>
        <v>5.9656000000000002</v>
      </c>
      <c r="E237" s="12">
        <f>CHOOSE( CONTROL!$C$29, 5.972, 5.9677) * CHOOSE( CONTROL!$C$12, $D$11, 100%, $F$11)</f>
        <v>5.9720000000000004</v>
      </c>
      <c r="F237" s="4">
        <f>CHOOSE( CONTROL!$C$29, 6.9521, 6.9479) * CHOOSE(CONTROL!$C$12, $D$11, 100%, $F$11)</f>
        <v>6.9520999999999997</v>
      </c>
      <c r="G237" s="8">
        <f>CHOOSE( CONTROL!$C$29, 5.8024, 5.7983) * CHOOSE( CONTROL!$C$12, $D$11, 100%, $F$11)</f>
        <v>5.8023999999999996</v>
      </c>
      <c r="H237" s="4">
        <f>CHOOSE( CONTROL!$C$29, 6.7005, 6.6964) * CHOOSE(CONTROL!$C$12, $D$11, 100%, $F$11)</f>
        <v>6.7004999999999999</v>
      </c>
      <c r="I237" s="8">
        <f>CHOOSE( CONTROL!$C$29, 5.7522, 5.7481) * CHOOSE(CONTROL!$C$12, $D$11, 100%, $F$11)</f>
        <v>5.7522000000000002</v>
      </c>
      <c r="J237" s="4">
        <f>CHOOSE( CONTROL!$C$29, 5.7226, 5.7186) * CHOOSE(CONTROL!$C$12, $D$11, 100%, $F$11)</f>
        <v>5.7225999999999999</v>
      </c>
      <c r="K237" s="4"/>
      <c r="L237" s="9">
        <v>29.520499999999998</v>
      </c>
      <c r="M237" s="9">
        <v>12.063700000000001</v>
      </c>
      <c r="N237" s="9">
        <v>4.9444999999999997</v>
      </c>
      <c r="O237" s="9">
        <v>0.37459999999999999</v>
      </c>
      <c r="P237" s="9">
        <v>1.2192000000000001</v>
      </c>
      <c r="Q237" s="9">
        <v>30.7105</v>
      </c>
      <c r="R237" s="9"/>
      <c r="S237" s="11"/>
    </row>
    <row r="238" spans="1:19" ht="15.75">
      <c r="A238" s="13">
        <v>49096</v>
      </c>
      <c r="B238" s="8">
        <f>CHOOSE( CONTROL!$C$29, 5.8813, 5.877) * CHOOSE(CONTROL!$C$12, $D$11, 100%, $F$11)</f>
        <v>5.8813000000000004</v>
      </c>
      <c r="C238" s="8">
        <f>CHOOSE( CONTROL!$C$29, 5.8917, 5.8875) * CHOOSE(CONTROL!$C$12, $D$11, 100%, $F$11)</f>
        <v>5.8917000000000002</v>
      </c>
      <c r="D238" s="8">
        <f>CHOOSE( CONTROL!$C$29, 5.864, 5.8598) * CHOOSE( CONTROL!$C$12, $D$11, 100%, $F$11)</f>
        <v>5.8639999999999999</v>
      </c>
      <c r="E238" s="12">
        <f>CHOOSE( CONTROL!$C$29, 5.8725, 5.8682) * CHOOSE( CONTROL!$C$12, $D$11, 100%, $F$11)</f>
        <v>5.8724999999999996</v>
      </c>
      <c r="F238" s="4">
        <f>CHOOSE( CONTROL!$C$29, 6.8457, 6.8415) * CHOOSE(CONTROL!$C$12, $D$11, 100%, $F$11)</f>
        <v>6.8456999999999999</v>
      </c>
      <c r="G238" s="8">
        <f>CHOOSE( CONTROL!$C$29, 5.7076, 5.7035) * CHOOSE( CONTROL!$C$12, $D$11, 100%, $F$11)</f>
        <v>5.7076000000000002</v>
      </c>
      <c r="H238" s="4">
        <f>CHOOSE( CONTROL!$C$29, 6.5968, 6.5926) * CHOOSE(CONTROL!$C$12, $D$11, 100%, $F$11)</f>
        <v>6.5968</v>
      </c>
      <c r="I238" s="8">
        <f>CHOOSE( CONTROL!$C$29, 5.6624, 5.6583) * CHOOSE(CONTROL!$C$12, $D$11, 100%, $F$11)</f>
        <v>5.6623999999999999</v>
      </c>
      <c r="J238" s="4">
        <f>CHOOSE( CONTROL!$C$29, 5.6307, 5.6266) * CHOOSE(CONTROL!$C$12, $D$11, 100%, $F$11)</f>
        <v>5.6307</v>
      </c>
      <c r="K238" s="4"/>
      <c r="L238" s="9">
        <v>28.568200000000001</v>
      </c>
      <c r="M238" s="9">
        <v>11.6745</v>
      </c>
      <c r="N238" s="9">
        <v>4.7850000000000001</v>
      </c>
      <c r="O238" s="9">
        <v>0.36249999999999999</v>
      </c>
      <c r="P238" s="9">
        <v>1.1798</v>
      </c>
      <c r="Q238" s="9">
        <v>29.719799999999999</v>
      </c>
      <c r="R238" s="9"/>
      <c r="S238" s="11"/>
    </row>
    <row r="239" spans="1:19" ht="15.75">
      <c r="A239" s="13">
        <v>49126</v>
      </c>
      <c r="B239" s="8">
        <f>CHOOSE( CONTROL!$C$29, 6.1339, 6.1297) * CHOOSE(CONTROL!$C$12, $D$11, 100%, $F$11)</f>
        <v>6.1338999999999997</v>
      </c>
      <c r="C239" s="8">
        <f>CHOOSE( CONTROL!$C$29, 6.1444, 6.1401) * CHOOSE(CONTROL!$C$12, $D$11, 100%, $F$11)</f>
        <v>6.1444000000000001</v>
      </c>
      <c r="D239" s="8">
        <f>CHOOSE( CONTROL!$C$29, 6.1505, 6.1463) * CHOOSE( CONTROL!$C$12, $D$11, 100%, $F$11)</f>
        <v>6.1505000000000001</v>
      </c>
      <c r="E239" s="12">
        <f>CHOOSE( CONTROL!$C$29, 6.1467, 6.1425) * CHOOSE( CONTROL!$C$12, $D$11, 100%, $F$11)</f>
        <v>6.1467000000000001</v>
      </c>
      <c r="F239" s="4">
        <f>CHOOSE( CONTROL!$C$29, 7.1438, 7.1396) * CHOOSE(CONTROL!$C$12, $D$11, 100%, $F$11)</f>
        <v>7.1437999999999997</v>
      </c>
      <c r="G239" s="8">
        <f>CHOOSE( CONTROL!$C$29, 5.9799, 5.9758) * CHOOSE( CONTROL!$C$12, $D$11, 100%, $F$11)</f>
        <v>5.9798999999999998</v>
      </c>
      <c r="H239" s="4">
        <f>CHOOSE( CONTROL!$C$29, 6.8873, 6.8832) * CHOOSE(CONTROL!$C$12, $D$11, 100%, $F$11)</f>
        <v>6.8872999999999998</v>
      </c>
      <c r="I239" s="8">
        <f>CHOOSE( CONTROL!$C$29, 5.9599, 5.9558) * CHOOSE(CONTROL!$C$12, $D$11, 100%, $F$11)</f>
        <v>5.9599000000000002</v>
      </c>
      <c r="J239" s="4">
        <f>CHOOSE( CONTROL!$C$29, 5.8728, 5.8687) * CHOOSE(CONTROL!$C$12, $D$11, 100%, $F$11)</f>
        <v>5.8727999999999998</v>
      </c>
      <c r="K239" s="4"/>
      <c r="L239" s="9">
        <v>29.520499999999998</v>
      </c>
      <c r="M239" s="9">
        <v>12.063700000000001</v>
      </c>
      <c r="N239" s="9">
        <v>4.9444999999999997</v>
      </c>
      <c r="O239" s="9">
        <v>0.37459999999999999</v>
      </c>
      <c r="P239" s="9">
        <v>1.2192000000000001</v>
      </c>
      <c r="Q239" s="9">
        <v>30.7105</v>
      </c>
      <c r="R239" s="9"/>
      <c r="S239" s="11"/>
    </row>
    <row r="240" spans="1:19" ht="15.75">
      <c r="A240" s="13">
        <v>49157</v>
      </c>
      <c r="B240" s="8">
        <f>CHOOSE( CONTROL!$C$29, 5.6612, 5.6569) * CHOOSE(CONTROL!$C$12, $D$11, 100%, $F$11)</f>
        <v>5.6612</v>
      </c>
      <c r="C240" s="8">
        <f>CHOOSE( CONTROL!$C$29, 5.6716, 5.6674) * CHOOSE(CONTROL!$C$12, $D$11, 100%, $F$11)</f>
        <v>5.6715999999999998</v>
      </c>
      <c r="D240" s="8">
        <f>CHOOSE( CONTROL!$C$29, 5.6942, 5.69) * CHOOSE( CONTROL!$C$12, $D$11, 100%, $F$11)</f>
        <v>5.6942000000000004</v>
      </c>
      <c r="E240" s="12">
        <f>CHOOSE( CONTROL!$C$29, 5.6844, 5.6802) * CHOOSE( CONTROL!$C$12, $D$11, 100%, $F$11)</f>
        <v>5.6844000000000001</v>
      </c>
      <c r="F240" s="4">
        <f>CHOOSE( CONTROL!$C$29, 6.6997, 6.6955) * CHOOSE(CONTROL!$C$12, $D$11, 100%, $F$11)</f>
        <v>6.6997</v>
      </c>
      <c r="G240" s="8">
        <f>CHOOSE( CONTROL!$C$29, 5.5247, 5.5206) * CHOOSE( CONTROL!$C$12, $D$11, 100%, $F$11)</f>
        <v>5.5247000000000002</v>
      </c>
      <c r="H240" s="4">
        <f>CHOOSE( CONTROL!$C$29, 6.4545, 6.4503) * CHOOSE(CONTROL!$C$12, $D$11, 100%, $F$11)</f>
        <v>6.4545000000000003</v>
      </c>
      <c r="I240" s="8">
        <f>CHOOSE( CONTROL!$C$29, 5.4981, 5.494) * CHOOSE(CONTROL!$C$12, $D$11, 100%, $F$11)</f>
        <v>5.4981</v>
      </c>
      <c r="J240" s="4">
        <f>CHOOSE( CONTROL!$C$29, 5.4198, 5.4157) * CHOOSE(CONTROL!$C$12, $D$11, 100%, $F$11)</f>
        <v>5.4198000000000004</v>
      </c>
      <c r="K240" s="4"/>
      <c r="L240" s="9">
        <v>29.520499999999998</v>
      </c>
      <c r="M240" s="9">
        <v>12.063700000000001</v>
      </c>
      <c r="N240" s="9">
        <v>4.9444999999999997</v>
      </c>
      <c r="O240" s="9">
        <v>0.37459999999999999</v>
      </c>
      <c r="P240" s="9">
        <v>1.2192000000000001</v>
      </c>
      <c r="Q240" s="9">
        <v>30.7105</v>
      </c>
      <c r="R240" s="9"/>
      <c r="S240" s="11"/>
    </row>
    <row r="241" spans="1:19" ht="15.75">
      <c r="A241" s="13">
        <v>49188</v>
      </c>
      <c r="B241" s="8">
        <f>CHOOSE( CONTROL!$C$29, 5.5428, 5.5385) * CHOOSE(CONTROL!$C$12, $D$11, 100%, $F$11)</f>
        <v>5.5427999999999997</v>
      </c>
      <c r="C241" s="8">
        <f>CHOOSE( CONTROL!$C$29, 5.5532, 5.549) * CHOOSE(CONTROL!$C$12, $D$11, 100%, $F$11)</f>
        <v>5.5532000000000004</v>
      </c>
      <c r="D241" s="8">
        <f>CHOOSE( CONTROL!$C$29, 5.5758, 5.5715) * CHOOSE( CONTROL!$C$12, $D$11, 100%, $F$11)</f>
        <v>5.5758000000000001</v>
      </c>
      <c r="E241" s="12">
        <f>CHOOSE( CONTROL!$C$29, 5.566, 5.5617) * CHOOSE( CONTROL!$C$12, $D$11, 100%, $F$11)</f>
        <v>5.5659999999999998</v>
      </c>
      <c r="F241" s="4">
        <f>CHOOSE( CONTROL!$C$29, 6.5813, 6.5771) * CHOOSE(CONTROL!$C$12, $D$11, 100%, $F$11)</f>
        <v>6.5812999999999997</v>
      </c>
      <c r="G241" s="8">
        <f>CHOOSE( CONTROL!$C$29, 5.409, 5.4048) * CHOOSE( CONTROL!$C$12, $D$11, 100%, $F$11)</f>
        <v>5.4089999999999998</v>
      </c>
      <c r="H241" s="4">
        <f>CHOOSE( CONTROL!$C$29, 6.3391, 6.3349) * CHOOSE(CONTROL!$C$12, $D$11, 100%, $F$11)</f>
        <v>6.3391000000000002</v>
      </c>
      <c r="I241" s="8">
        <f>CHOOSE( CONTROL!$C$29, 5.3829, 5.3788) * CHOOSE(CONTROL!$C$12, $D$11, 100%, $F$11)</f>
        <v>5.3829000000000002</v>
      </c>
      <c r="J241" s="4">
        <f>CHOOSE( CONTROL!$C$29, 5.3063, 5.3023) * CHOOSE(CONTROL!$C$12, $D$11, 100%, $F$11)</f>
        <v>5.3063000000000002</v>
      </c>
      <c r="K241" s="4"/>
      <c r="L241" s="9">
        <v>28.568200000000001</v>
      </c>
      <c r="M241" s="9">
        <v>11.6745</v>
      </c>
      <c r="N241" s="9">
        <v>4.7850000000000001</v>
      </c>
      <c r="O241" s="9">
        <v>0.36249999999999999</v>
      </c>
      <c r="P241" s="9">
        <v>1.1798</v>
      </c>
      <c r="Q241" s="9">
        <v>29.719799999999999</v>
      </c>
      <c r="R241" s="9"/>
      <c r="S241" s="11"/>
    </row>
    <row r="242" spans="1:19" ht="15.75">
      <c r="A242" s="13">
        <v>49218</v>
      </c>
      <c r="B242" s="8">
        <f>5.7843 * CHOOSE(CONTROL!$C$12, $D$11, 100%, $F$11)</f>
        <v>5.7843</v>
      </c>
      <c r="C242" s="8">
        <f>5.7948 * CHOOSE(CONTROL!$C$12, $D$11, 100%, $F$11)</f>
        <v>5.7948000000000004</v>
      </c>
      <c r="D242" s="8">
        <f>5.7992 * CHOOSE( CONTROL!$C$12, $D$11, 100%, $F$11)</f>
        <v>5.7991999999999999</v>
      </c>
      <c r="E242" s="12">
        <f>5.7966 * CHOOSE( CONTROL!$C$12, $D$11, 100%, $F$11)</f>
        <v>5.7965999999999998</v>
      </c>
      <c r="F242" s="4">
        <f>6.7916 * CHOOSE(CONTROL!$C$12, $D$11, 100%, $F$11)</f>
        <v>6.7915999999999999</v>
      </c>
      <c r="G242" s="8">
        <f>5.6347 * CHOOSE( CONTROL!$C$12, $D$11, 100%, $F$11)</f>
        <v>5.6346999999999996</v>
      </c>
      <c r="H242" s="4">
        <f>6.544 * CHOOSE(CONTROL!$C$12, $D$11, 100%, $F$11)</f>
        <v>6.5439999999999996</v>
      </c>
      <c r="I242" s="8">
        <f>5.6111 * CHOOSE(CONTROL!$C$12, $D$11, 100%, $F$11)</f>
        <v>5.6111000000000004</v>
      </c>
      <c r="J242" s="4">
        <f>5.5378 * CHOOSE(CONTROL!$C$12, $D$11, 100%, $F$11)</f>
        <v>5.5377999999999998</v>
      </c>
      <c r="K242" s="4"/>
      <c r="L242" s="9">
        <v>28.921800000000001</v>
      </c>
      <c r="M242" s="9">
        <v>12.063700000000001</v>
      </c>
      <c r="N242" s="9">
        <v>4.9444999999999997</v>
      </c>
      <c r="O242" s="9">
        <v>0.37459999999999999</v>
      </c>
      <c r="P242" s="9">
        <v>1.2192000000000001</v>
      </c>
      <c r="Q242" s="9">
        <v>30.7105</v>
      </c>
      <c r="R242" s="9"/>
      <c r="S242" s="11"/>
    </row>
    <row r="243" spans="1:19" ht="15.75">
      <c r="A243" s="13">
        <v>49249</v>
      </c>
      <c r="B243" s="8">
        <f>6.2381 * CHOOSE(CONTROL!$C$12, $D$11, 100%, $F$11)</f>
        <v>6.2381000000000002</v>
      </c>
      <c r="C243" s="8">
        <f>6.2485 * CHOOSE(CONTROL!$C$12, $D$11, 100%, $F$11)</f>
        <v>6.2484999999999999</v>
      </c>
      <c r="D243" s="8">
        <f>6.2309 * CHOOSE( CONTROL!$C$12, $D$11, 100%, $F$11)</f>
        <v>6.2309000000000001</v>
      </c>
      <c r="E243" s="12">
        <f>6.2362 * CHOOSE( CONTROL!$C$12, $D$11, 100%, $F$11)</f>
        <v>6.2362000000000002</v>
      </c>
      <c r="F243" s="4">
        <f>7.2323 * CHOOSE(CONTROL!$C$12, $D$11, 100%, $F$11)</f>
        <v>7.2323000000000004</v>
      </c>
      <c r="G243" s="8">
        <f>6.0895 * CHOOSE( CONTROL!$C$12, $D$11, 100%, $F$11)</f>
        <v>6.0895000000000001</v>
      </c>
      <c r="H243" s="4">
        <f>6.9736 * CHOOSE(CONTROL!$C$12, $D$11, 100%, $F$11)</f>
        <v>6.9736000000000002</v>
      </c>
      <c r="I243" s="8">
        <f>6.0696 * CHOOSE(CONTROL!$C$12, $D$11, 100%, $F$11)</f>
        <v>6.0696000000000003</v>
      </c>
      <c r="J243" s="4">
        <f>5.9726 * CHOOSE(CONTROL!$C$12, $D$11, 100%, $F$11)</f>
        <v>5.9725999999999999</v>
      </c>
      <c r="K243" s="4"/>
      <c r="L243" s="9">
        <v>26.515499999999999</v>
      </c>
      <c r="M243" s="9">
        <v>11.6745</v>
      </c>
      <c r="N243" s="9">
        <v>4.7850000000000001</v>
      </c>
      <c r="O243" s="9">
        <v>0.36249999999999999</v>
      </c>
      <c r="P243" s="9">
        <v>1.2522</v>
      </c>
      <c r="Q243" s="9">
        <v>29.719799999999999</v>
      </c>
      <c r="R243" s="9"/>
      <c r="S243" s="11"/>
    </row>
    <row r="244" spans="1:19" ht="15.75">
      <c r="A244" s="13">
        <v>49279</v>
      </c>
      <c r="B244" s="8">
        <f>6.2267 * CHOOSE(CONTROL!$C$12, $D$11, 100%, $F$11)</f>
        <v>6.2267000000000001</v>
      </c>
      <c r="C244" s="8">
        <f>6.2372 * CHOOSE(CONTROL!$C$12, $D$11, 100%, $F$11)</f>
        <v>6.2371999999999996</v>
      </c>
      <c r="D244" s="8">
        <f>6.2216 * CHOOSE( CONTROL!$C$12, $D$11, 100%, $F$11)</f>
        <v>6.2215999999999996</v>
      </c>
      <c r="E244" s="12">
        <f>6.2262 * CHOOSE( CONTROL!$C$12, $D$11, 100%, $F$11)</f>
        <v>6.2262000000000004</v>
      </c>
      <c r="F244" s="4">
        <f>7.221 * CHOOSE(CONTROL!$C$12, $D$11, 100%, $F$11)</f>
        <v>7.2210000000000001</v>
      </c>
      <c r="G244" s="8">
        <f>6.08 * CHOOSE( CONTROL!$C$12, $D$11, 100%, $F$11)</f>
        <v>6.08</v>
      </c>
      <c r="H244" s="4">
        <f>6.9625 * CHOOSE(CONTROL!$C$12, $D$11, 100%, $F$11)</f>
        <v>6.9625000000000004</v>
      </c>
      <c r="I244" s="8">
        <f>6.0659 * CHOOSE(CONTROL!$C$12, $D$11, 100%, $F$11)</f>
        <v>6.0659000000000001</v>
      </c>
      <c r="J244" s="4">
        <f>5.9617 * CHOOSE(CONTROL!$C$12, $D$11, 100%, $F$11)</f>
        <v>5.9617000000000004</v>
      </c>
      <c r="K244" s="4"/>
      <c r="L244" s="9">
        <v>27.3993</v>
      </c>
      <c r="M244" s="9">
        <v>12.063700000000001</v>
      </c>
      <c r="N244" s="9">
        <v>4.9444999999999997</v>
      </c>
      <c r="O244" s="9">
        <v>0.37459999999999999</v>
      </c>
      <c r="P244" s="9">
        <v>1.2939000000000001</v>
      </c>
      <c r="Q244" s="9">
        <v>30.7105</v>
      </c>
      <c r="R244" s="9"/>
      <c r="S244" s="11"/>
    </row>
    <row r="245" spans="1:19" ht="15.75">
      <c r="A245" s="13">
        <v>49310</v>
      </c>
      <c r="B245" s="8">
        <f>6.3851 * CHOOSE(CONTROL!$C$12, $D$11, 100%, $F$11)</f>
        <v>6.3851000000000004</v>
      </c>
      <c r="C245" s="8">
        <f>6.3955 * CHOOSE(CONTROL!$C$12, $D$11, 100%, $F$11)</f>
        <v>6.3955000000000002</v>
      </c>
      <c r="D245" s="8">
        <f>6.3932 * CHOOSE( CONTROL!$C$12, $D$11, 100%, $F$11)</f>
        <v>6.3932000000000002</v>
      </c>
      <c r="E245" s="12">
        <f>6.3929 * CHOOSE( CONTROL!$C$12, $D$11, 100%, $F$11)</f>
        <v>6.3929</v>
      </c>
      <c r="F245" s="4">
        <f>7.408 * CHOOSE(CONTROL!$C$12, $D$11, 100%, $F$11)</f>
        <v>7.4080000000000004</v>
      </c>
      <c r="G245" s="8">
        <f>6.2515 * CHOOSE( CONTROL!$C$12, $D$11, 100%, $F$11)</f>
        <v>6.2515000000000001</v>
      </c>
      <c r="H245" s="4">
        <f>7.1448 * CHOOSE(CONTROL!$C$12, $D$11, 100%, $F$11)</f>
        <v>7.1448</v>
      </c>
      <c r="I245" s="8">
        <f>6.2251 * CHOOSE(CONTROL!$C$12, $D$11, 100%, $F$11)</f>
        <v>6.2251000000000003</v>
      </c>
      <c r="J245" s="4">
        <f>6.1134 * CHOOSE(CONTROL!$C$12, $D$11, 100%, $F$11)</f>
        <v>6.1134000000000004</v>
      </c>
      <c r="K245" s="4"/>
      <c r="L245" s="9">
        <v>27.3993</v>
      </c>
      <c r="M245" s="9">
        <v>12.063700000000001</v>
      </c>
      <c r="N245" s="9">
        <v>4.9444999999999997</v>
      </c>
      <c r="O245" s="9">
        <v>0.37459999999999999</v>
      </c>
      <c r="P245" s="9">
        <v>1.2939000000000001</v>
      </c>
      <c r="Q245" s="9">
        <v>30.645399999999999</v>
      </c>
      <c r="R245" s="9"/>
      <c r="S245" s="11"/>
    </row>
    <row r="246" spans="1:19" ht="15.75">
      <c r="A246" s="13">
        <v>49341</v>
      </c>
      <c r="B246" s="8">
        <f>5.9726 * CHOOSE(CONTROL!$C$12, $D$11, 100%, $F$11)</f>
        <v>5.9725999999999999</v>
      </c>
      <c r="C246" s="8">
        <f>5.9831 * CHOOSE(CONTROL!$C$12, $D$11, 100%, $F$11)</f>
        <v>5.9831000000000003</v>
      </c>
      <c r="D246" s="8">
        <f>5.983 * CHOOSE( CONTROL!$C$12, $D$11, 100%, $F$11)</f>
        <v>5.9829999999999997</v>
      </c>
      <c r="E246" s="12">
        <f>5.9819 * CHOOSE( CONTROL!$C$12, $D$11, 100%, $F$11)</f>
        <v>5.9819000000000004</v>
      </c>
      <c r="F246" s="4">
        <f>6.9877 * CHOOSE(CONTROL!$C$12, $D$11, 100%, $F$11)</f>
        <v>6.9877000000000002</v>
      </c>
      <c r="G246" s="8">
        <f>5.8493 * CHOOSE( CONTROL!$C$12, $D$11, 100%, $F$11)</f>
        <v>5.8493000000000004</v>
      </c>
      <c r="H246" s="4">
        <f>6.7352 * CHOOSE(CONTROL!$C$12, $D$11, 100%, $F$11)</f>
        <v>6.7351999999999999</v>
      </c>
      <c r="I246" s="8">
        <f>5.8187 * CHOOSE(CONTROL!$C$12, $D$11, 100%, $F$11)</f>
        <v>5.8186999999999998</v>
      </c>
      <c r="J246" s="4">
        <f>5.7182 * CHOOSE(CONTROL!$C$12, $D$11, 100%, $F$11)</f>
        <v>5.7182000000000004</v>
      </c>
      <c r="K246" s="4"/>
      <c r="L246" s="9">
        <v>24.747800000000002</v>
      </c>
      <c r="M246" s="9">
        <v>10.8962</v>
      </c>
      <c r="N246" s="9">
        <v>4.4660000000000002</v>
      </c>
      <c r="O246" s="9">
        <v>0.33829999999999999</v>
      </c>
      <c r="P246" s="9">
        <v>1.1687000000000001</v>
      </c>
      <c r="Q246" s="9">
        <v>27.6797</v>
      </c>
      <c r="R246" s="9"/>
      <c r="S246" s="11"/>
    </row>
    <row r="247" spans="1:19" ht="15.75">
      <c r="A247" s="13">
        <v>49369</v>
      </c>
      <c r="B247" s="8">
        <f>5.8456 * CHOOSE(CONTROL!$C$12, $D$11, 100%, $F$11)</f>
        <v>5.8456000000000001</v>
      </c>
      <c r="C247" s="8">
        <f>5.856 * CHOOSE(CONTROL!$C$12, $D$11, 100%, $F$11)</f>
        <v>5.8559999999999999</v>
      </c>
      <c r="D247" s="8">
        <f>5.8359 * CHOOSE( CONTROL!$C$12, $D$11, 100%, $F$11)</f>
        <v>5.8358999999999996</v>
      </c>
      <c r="E247" s="12">
        <f>5.8421 * CHOOSE( CONTROL!$C$12, $D$11, 100%, $F$11)</f>
        <v>5.8421000000000003</v>
      </c>
      <c r="F247" s="4">
        <f>6.8445 * CHOOSE(CONTROL!$C$12, $D$11, 100%, $F$11)</f>
        <v>6.8445</v>
      </c>
      <c r="G247" s="8">
        <f>5.705 * CHOOSE( CONTROL!$C$12, $D$11, 100%, $F$11)</f>
        <v>5.7050000000000001</v>
      </c>
      <c r="H247" s="4">
        <f>6.5956 * CHOOSE(CONTROL!$C$12, $D$11, 100%, $F$11)</f>
        <v>6.5956000000000001</v>
      </c>
      <c r="I247" s="8">
        <f>5.6574 * CHOOSE(CONTROL!$C$12, $D$11, 100%, $F$11)</f>
        <v>5.6574</v>
      </c>
      <c r="J247" s="4">
        <f>5.5965 * CHOOSE(CONTROL!$C$12, $D$11, 100%, $F$11)</f>
        <v>5.5964999999999998</v>
      </c>
      <c r="K247" s="4"/>
      <c r="L247" s="9">
        <v>27.3993</v>
      </c>
      <c r="M247" s="9">
        <v>12.063700000000001</v>
      </c>
      <c r="N247" s="9">
        <v>4.9444999999999997</v>
      </c>
      <c r="O247" s="9">
        <v>0.37459999999999999</v>
      </c>
      <c r="P247" s="9">
        <v>1.2939000000000001</v>
      </c>
      <c r="Q247" s="9">
        <v>30.645399999999999</v>
      </c>
      <c r="R247" s="9"/>
      <c r="S247" s="11"/>
    </row>
    <row r="248" spans="1:19" ht="15.75">
      <c r="A248" s="13">
        <v>49400</v>
      </c>
      <c r="B248" s="8">
        <f>5.9343 * CHOOSE(CONTROL!$C$12, $D$11, 100%, $F$11)</f>
        <v>5.9343000000000004</v>
      </c>
      <c r="C248" s="8">
        <f>5.9448 * CHOOSE(CONTROL!$C$12, $D$11, 100%, $F$11)</f>
        <v>5.9447999999999999</v>
      </c>
      <c r="D248" s="8">
        <f>5.948 * CHOOSE( CONTROL!$C$12, $D$11, 100%, $F$11)</f>
        <v>5.9480000000000004</v>
      </c>
      <c r="E248" s="12">
        <f>5.9457 * CHOOSE( CONTROL!$C$12, $D$11, 100%, $F$11)</f>
        <v>5.9457000000000004</v>
      </c>
      <c r="F248" s="4">
        <f>6.9416 * CHOOSE(CONTROL!$C$12, $D$11, 100%, $F$11)</f>
        <v>6.9416000000000002</v>
      </c>
      <c r="G248" s="8">
        <f>5.7794 * CHOOSE( CONTROL!$C$12, $D$11, 100%, $F$11)</f>
        <v>5.7793999999999999</v>
      </c>
      <c r="H248" s="4">
        <f>6.6902 * CHOOSE(CONTROL!$C$12, $D$11, 100%, $F$11)</f>
        <v>6.6901999999999999</v>
      </c>
      <c r="I248" s="8">
        <f>5.7326 * CHOOSE(CONTROL!$C$12, $D$11, 100%, $F$11)</f>
        <v>5.7325999999999997</v>
      </c>
      <c r="J248" s="4">
        <f>5.6815 * CHOOSE(CONTROL!$C$12, $D$11, 100%, $F$11)</f>
        <v>5.6814999999999998</v>
      </c>
      <c r="K248" s="4"/>
      <c r="L248" s="9">
        <v>27.988800000000001</v>
      </c>
      <c r="M248" s="9">
        <v>11.6745</v>
      </c>
      <c r="N248" s="9">
        <v>4.7850000000000001</v>
      </c>
      <c r="O248" s="9">
        <v>0.36249999999999999</v>
      </c>
      <c r="P248" s="9">
        <v>1.1798</v>
      </c>
      <c r="Q248" s="9">
        <v>29.6568</v>
      </c>
      <c r="R248" s="9"/>
      <c r="S248" s="11"/>
    </row>
    <row r="249" spans="1:19" ht="15.75">
      <c r="A249" s="13">
        <v>49430</v>
      </c>
      <c r="B249" s="8">
        <f>CHOOSE( CONTROL!$C$29, 6.0966, 6.0923) * CHOOSE(CONTROL!$C$12, $D$11, 100%, $F$11)</f>
        <v>6.0965999999999996</v>
      </c>
      <c r="C249" s="8">
        <f>CHOOSE( CONTROL!$C$29, 6.107, 6.1028) * CHOOSE(CONTROL!$C$12, $D$11, 100%, $F$11)</f>
        <v>6.1070000000000002</v>
      </c>
      <c r="D249" s="8">
        <f>CHOOSE( CONTROL!$C$29, 6.0849, 6.0807) * CHOOSE( CONTROL!$C$12, $D$11, 100%, $F$11)</f>
        <v>6.0849000000000002</v>
      </c>
      <c r="E249" s="12">
        <f>CHOOSE( CONTROL!$C$29, 6.0913, 6.0871) * CHOOSE( CONTROL!$C$12, $D$11, 100%, $F$11)</f>
        <v>6.0913000000000004</v>
      </c>
      <c r="F249" s="4">
        <f>CHOOSE( CONTROL!$C$29, 7.0715, 7.0672) * CHOOSE(CONTROL!$C$12, $D$11, 100%, $F$11)</f>
        <v>7.0715000000000003</v>
      </c>
      <c r="G249" s="8">
        <f>CHOOSE( CONTROL!$C$29, 5.9187, 5.9146) * CHOOSE( CONTROL!$C$12, $D$11, 100%, $F$11)</f>
        <v>5.9187000000000003</v>
      </c>
      <c r="H249" s="4">
        <f>CHOOSE( CONTROL!$C$29, 6.8168, 6.8127) * CHOOSE(CONTROL!$C$12, $D$11, 100%, $F$11)</f>
        <v>6.8167999999999997</v>
      </c>
      <c r="I249" s="8">
        <f>CHOOSE( CONTROL!$C$29, 5.8666, 5.8625) * CHOOSE(CONTROL!$C$12, $D$11, 100%, $F$11)</f>
        <v>5.8666</v>
      </c>
      <c r="J249" s="4">
        <f>CHOOSE( CONTROL!$C$29, 5.837, 5.8329) * CHOOSE(CONTROL!$C$12, $D$11, 100%, $F$11)</f>
        <v>5.8369999999999997</v>
      </c>
      <c r="K249" s="4"/>
      <c r="L249" s="9">
        <v>29.520499999999998</v>
      </c>
      <c r="M249" s="9">
        <v>12.063700000000001</v>
      </c>
      <c r="N249" s="9">
        <v>4.9444999999999997</v>
      </c>
      <c r="O249" s="9">
        <v>0.37459999999999999</v>
      </c>
      <c r="P249" s="9">
        <v>1.2192000000000001</v>
      </c>
      <c r="Q249" s="9">
        <v>30.645399999999999</v>
      </c>
      <c r="R249" s="9"/>
      <c r="S249" s="11"/>
    </row>
    <row r="250" spans="1:19" ht="15.75">
      <c r="A250" s="14">
        <v>49461</v>
      </c>
      <c r="B250" s="8">
        <f>CHOOSE( CONTROL!$C$29, 5.9987, 5.9945) * CHOOSE(CONTROL!$C$12, $D$11, 100%, $F$11)</f>
        <v>5.9987000000000004</v>
      </c>
      <c r="C250" s="8">
        <f>CHOOSE( CONTROL!$C$29, 6.0091, 6.0049) * CHOOSE(CONTROL!$C$12, $D$11, 100%, $F$11)</f>
        <v>6.0091000000000001</v>
      </c>
      <c r="D250" s="8">
        <f>CHOOSE( CONTROL!$C$29, 5.9815, 5.9772) * CHOOSE( CONTROL!$C$12, $D$11, 100%, $F$11)</f>
        <v>5.9814999999999996</v>
      </c>
      <c r="E250" s="12">
        <f>CHOOSE( CONTROL!$C$29, 5.9899, 5.9857) * CHOOSE( CONTROL!$C$12, $D$11, 100%, $F$11)</f>
        <v>5.9898999999999996</v>
      </c>
      <c r="F250" s="4">
        <f>CHOOSE( CONTROL!$C$29, 6.9632, 6.9589) * CHOOSE(CONTROL!$C$12, $D$11, 100%, $F$11)</f>
        <v>6.9631999999999996</v>
      </c>
      <c r="G250" s="8">
        <f>CHOOSE( CONTROL!$C$29, 5.8221, 5.8179) * CHOOSE( CONTROL!$C$12, $D$11, 100%, $F$11)</f>
        <v>5.8220999999999998</v>
      </c>
      <c r="H250" s="4">
        <f>CHOOSE( CONTROL!$C$29, 6.7113, 6.7071) * CHOOSE(CONTROL!$C$12, $D$11, 100%, $F$11)</f>
        <v>6.7112999999999996</v>
      </c>
      <c r="I250" s="8">
        <f>CHOOSE( CONTROL!$C$29, 5.7749, 5.7709) * CHOOSE(CONTROL!$C$12, $D$11, 100%, $F$11)</f>
        <v>5.7748999999999997</v>
      </c>
      <c r="J250" s="4">
        <f>CHOOSE( CONTROL!$C$29, 5.7432, 5.7391) * CHOOSE(CONTROL!$C$12, $D$11, 100%, $F$11)</f>
        <v>5.7431999999999999</v>
      </c>
      <c r="K250" s="4"/>
      <c r="L250" s="9">
        <v>28.568200000000001</v>
      </c>
      <c r="M250" s="9">
        <v>11.6745</v>
      </c>
      <c r="N250" s="9">
        <v>4.7850000000000001</v>
      </c>
      <c r="O250" s="9">
        <v>0.36249999999999999</v>
      </c>
      <c r="P250" s="9">
        <v>1.1798</v>
      </c>
      <c r="Q250" s="9">
        <v>29.6568</v>
      </c>
      <c r="R250" s="9"/>
      <c r="S250" s="11"/>
    </row>
    <row r="251" spans="1:19" ht="15.75">
      <c r="A251" s="14">
        <v>49491</v>
      </c>
      <c r="B251" s="8">
        <f>CHOOSE( CONTROL!$C$29, 6.2564, 6.2522) * CHOOSE(CONTROL!$C$12, $D$11, 100%, $F$11)</f>
        <v>6.2564000000000002</v>
      </c>
      <c r="C251" s="8">
        <f>CHOOSE( CONTROL!$C$29, 6.2669, 6.2626) * CHOOSE(CONTROL!$C$12, $D$11, 100%, $F$11)</f>
        <v>6.2668999999999997</v>
      </c>
      <c r="D251" s="8">
        <f>CHOOSE( CONTROL!$C$29, 6.273, 6.2688) * CHOOSE( CONTROL!$C$12, $D$11, 100%, $F$11)</f>
        <v>6.2729999999999997</v>
      </c>
      <c r="E251" s="12">
        <f>CHOOSE( CONTROL!$C$29, 6.2692, 6.265) * CHOOSE( CONTROL!$C$12, $D$11, 100%, $F$11)</f>
        <v>6.2691999999999997</v>
      </c>
      <c r="F251" s="4">
        <f>CHOOSE( CONTROL!$C$29, 7.2663, 7.2621) * CHOOSE(CONTROL!$C$12, $D$11, 100%, $F$11)</f>
        <v>7.2663000000000002</v>
      </c>
      <c r="G251" s="8">
        <f>CHOOSE( CONTROL!$C$29, 6.0993, 6.0952) * CHOOSE( CONTROL!$C$12, $D$11, 100%, $F$11)</f>
        <v>6.0993000000000004</v>
      </c>
      <c r="H251" s="4">
        <f>CHOOSE( CONTROL!$C$29, 7.0067, 7.0026) * CHOOSE(CONTROL!$C$12, $D$11, 100%, $F$11)</f>
        <v>7.0067000000000004</v>
      </c>
      <c r="I251" s="8">
        <f>CHOOSE( CONTROL!$C$29, 6.0773, 6.0732) * CHOOSE(CONTROL!$C$12, $D$11, 100%, $F$11)</f>
        <v>6.0773000000000001</v>
      </c>
      <c r="J251" s="4">
        <f>CHOOSE( CONTROL!$C$29, 5.9902, 5.9861) * CHOOSE(CONTROL!$C$12, $D$11, 100%, $F$11)</f>
        <v>5.9901999999999997</v>
      </c>
      <c r="K251" s="4"/>
      <c r="L251" s="9">
        <v>29.520499999999998</v>
      </c>
      <c r="M251" s="9">
        <v>12.063700000000001</v>
      </c>
      <c r="N251" s="9">
        <v>4.9444999999999997</v>
      </c>
      <c r="O251" s="9">
        <v>0.37459999999999999</v>
      </c>
      <c r="P251" s="9">
        <v>1.2192000000000001</v>
      </c>
      <c r="Q251" s="9">
        <v>30.645399999999999</v>
      </c>
      <c r="R251" s="9"/>
      <c r="S251" s="11"/>
    </row>
    <row r="252" spans="1:19" ht="15.75">
      <c r="A252" s="14">
        <v>49522</v>
      </c>
      <c r="B252" s="8">
        <f>CHOOSE( CONTROL!$C$29, 5.7742, 5.77) * CHOOSE(CONTROL!$C$12, $D$11, 100%, $F$11)</f>
        <v>5.7742000000000004</v>
      </c>
      <c r="C252" s="8">
        <f>CHOOSE( CONTROL!$C$29, 5.7846, 5.7804) * CHOOSE(CONTROL!$C$12, $D$11, 100%, $F$11)</f>
        <v>5.7846000000000002</v>
      </c>
      <c r="D252" s="8">
        <f>CHOOSE( CONTROL!$C$29, 5.8072, 5.803) * CHOOSE( CONTROL!$C$12, $D$11, 100%, $F$11)</f>
        <v>5.8071999999999999</v>
      </c>
      <c r="E252" s="12">
        <f>CHOOSE( CONTROL!$C$29, 5.7974, 5.7932) * CHOOSE( CONTROL!$C$12, $D$11, 100%, $F$11)</f>
        <v>5.7973999999999997</v>
      </c>
      <c r="F252" s="4">
        <f>CHOOSE( CONTROL!$C$29, 6.8128, 6.8085) * CHOOSE(CONTROL!$C$12, $D$11, 100%, $F$11)</f>
        <v>6.8128000000000002</v>
      </c>
      <c r="G252" s="8">
        <f>CHOOSE( CONTROL!$C$29, 5.6349, 5.6307) * CHOOSE( CONTROL!$C$12, $D$11, 100%, $F$11)</f>
        <v>5.6349</v>
      </c>
      <c r="H252" s="4">
        <f>CHOOSE( CONTROL!$C$29, 6.5646, 6.5605) * CHOOSE(CONTROL!$C$12, $D$11, 100%, $F$11)</f>
        <v>6.5646000000000004</v>
      </c>
      <c r="I252" s="8">
        <f>CHOOSE( CONTROL!$C$29, 5.6065, 5.6024) * CHOOSE(CONTROL!$C$12, $D$11, 100%, $F$11)</f>
        <v>5.6064999999999996</v>
      </c>
      <c r="J252" s="4">
        <f>CHOOSE( CONTROL!$C$29, 5.5281, 5.524) * CHOOSE(CONTROL!$C$12, $D$11, 100%, $F$11)</f>
        <v>5.5281000000000002</v>
      </c>
      <c r="K252" s="4"/>
      <c r="L252" s="9">
        <v>29.520499999999998</v>
      </c>
      <c r="M252" s="9">
        <v>12.063700000000001</v>
      </c>
      <c r="N252" s="9">
        <v>4.9444999999999997</v>
      </c>
      <c r="O252" s="9">
        <v>0.37459999999999999</v>
      </c>
      <c r="P252" s="9">
        <v>1.2192000000000001</v>
      </c>
      <c r="Q252" s="9">
        <v>30.645399999999999</v>
      </c>
      <c r="R252" s="9"/>
      <c r="S252" s="11"/>
    </row>
    <row r="253" spans="1:19" ht="15.75">
      <c r="A253" s="14">
        <v>49553</v>
      </c>
      <c r="B253" s="8">
        <f>CHOOSE( CONTROL!$C$29, 5.6534, 5.6492) * CHOOSE(CONTROL!$C$12, $D$11, 100%, $F$11)</f>
        <v>5.6534000000000004</v>
      </c>
      <c r="C253" s="8">
        <f>CHOOSE( CONTROL!$C$29, 5.6639, 5.6596) * CHOOSE(CONTROL!$C$12, $D$11, 100%, $F$11)</f>
        <v>5.6638999999999999</v>
      </c>
      <c r="D253" s="8">
        <f>CHOOSE( CONTROL!$C$29, 5.6864, 5.6822) * CHOOSE( CONTROL!$C$12, $D$11, 100%, $F$11)</f>
        <v>5.6863999999999999</v>
      </c>
      <c r="E253" s="12">
        <f>CHOOSE( CONTROL!$C$29, 5.6766, 5.6724) * CHOOSE( CONTROL!$C$12, $D$11, 100%, $F$11)</f>
        <v>5.6765999999999996</v>
      </c>
      <c r="F253" s="4">
        <f>CHOOSE( CONTROL!$C$29, 6.692, 6.6878) * CHOOSE(CONTROL!$C$12, $D$11, 100%, $F$11)</f>
        <v>6.6920000000000002</v>
      </c>
      <c r="G253" s="8">
        <f>CHOOSE( CONTROL!$C$29, 5.5169, 5.5127) * CHOOSE( CONTROL!$C$12, $D$11, 100%, $F$11)</f>
        <v>5.5168999999999997</v>
      </c>
      <c r="H253" s="4">
        <f>CHOOSE( CONTROL!$C$29, 6.4469, 6.4428) * CHOOSE(CONTROL!$C$12, $D$11, 100%, $F$11)</f>
        <v>6.4469000000000003</v>
      </c>
      <c r="I253" s="8">
        <f>CHOOSE( CONTROL!$C$29, 5.489, 5.4849) * CHOOSE(CONTROL!$C$12, $D$11, 100%, $F$11)</f>
        <v>5.4889999999999999</v>
      </c>
      <c r="J253" s="4">
        <f>CHOOSE( CONTROL!$C$29, 5.4124, 5.4083) * CHOOSE(CONTROL!$C$12, $D$11, 100%, $F$11)</f>
        <v>5.4123999999999999</v>
      </c>
      <c r="K253" s="4"/>
      <c r="L253" s="9">
        <v>28.568200000000001</v>
      </c>
      <c r="M253" s="9">
        <v>11.6745</v>
      </c>
      <c r="N253" s="9">
        <v>4.7850000000000001</v>
      </c>
      <c r="O253" s="9">
        <v>0.36249999999999999</v>
      </c>
      <c r="P253" s="9">
        <v>1.1798</v>
      </c>
      <c r="Q253" s="9">
        <v>29.6568</v>
      </c>
      <c r="R253" s="9"/>
      <c r="S253" s="11"/>
    </row>
    <row r="254" spans="1:19" ht="15.75">
      <c r="A254" s="14">
        <v>49583</v>
      </c>
      <c r="B254" s="8">
        <f>5.8999 * CHOOSE(CONTROL!$C$12, $D$11, 100%, $F$11)</f>
        <v>5.8998999999999997</v>
      </c>
      <c r="C254" s="8">
        <f>5.9104 * CHOOSE(CONTROL!$C$12, $D$11, 100%, $F$11)</f>
        <v>5.9104000000000001</v>
      </c>
      <c r="D254" s="8">
        <f>5.9148 * CHOOSE( CONTROL!$C$12, $D$11, 100%, $F$11)</f>
        <v>5.9147999999999996</v>
      </c>
      <c r="E254" s="12">
        <f>5.9122 * CHOOSE( CONTROL!$C$12, $D$11, 100%, $F$11)</f>
        <v>5.9122000000000003</v>
      </c>
      <c r="F254" s="4">
        <f>6.9072 * CHOOSE(CONTROL!$C$12, $D$11, 100%, $F$11)</f>
        <v>6.9071999999999996</v>
      </c>
      <c r="G254" s="8">
        <f>5.7474 * CHOOSE( CONTROL!$C$12, $D$11, 100%, $F$11)</f>
        <v>5.7473999999999998</v>
      </c>
      <c r="H254" s="4">
        <f>6.6567 * CHOOSE(CONTROL!$C$12, $D$11, 100%, $F$11)</f>
        <v>6.6566999999999998</v>
      </c>
      <c r="I254" s="8">
        <f>5.7219 * CHOOSE(CONTROL!$C$12, $D$11, 100%, $F$11)</f>
        <v>5.7218999999999998</v>
      </c>
      <c r="J254" s="4">
        <f>5.6486 * CHOOSE(CONTROL!$C$12, $D$11, 100%, $F$11)</f>
        <v>5.6486000000000001</v>
      </c>
      <c r="K254" s="4"/>
      <c r="L254" s="9">
        <v>28.921800000000001</v>
      </c>
      <c r="M254" s="9">
        <v>12.063700000000001</v>
      </c>
      <c r="N254" s="9">
        <v>4.9444999999999997</v>
      </c>
      <c r="O254" s="9">
        <v>0.37459999999999999</v>
      </c>
      <c r="P254" s="9">
        <v>1.2192000000000001</v>
      </c>
      <c r="Q254" s="9">
        <v>30.645399999999999</v>
      </c>
      <c r="R254" s="9"/>
      <c r="S254" s="11"/>
    </row>
    <row r="255" spans="1:19" ht="15.75">
      <c r="A255" s="14">
        <v>49614</v>
      </c>
      <c r="B255" s="8">
        <f>6.3627 * CHOOSE(CONTROL!$C$12, $D$11, 100%, $F$11)</f>
        <v>6.3627000000000002</v>
      </c>
      <c r="C255" s="8">
        <f>6.3732 * CHOOSE(CONTROL!$C$12, $D$11, 100%, $F$11)</f>
        <v>6.3731999999999998</v>
      </c>
      <c r="D255" s="8">
        <f>6.3556 * CHOOSE( CONTROL!$C$12, $D$11, 100%, $F$11)</f>
        <v>6.3555999999999999</v>
      </c>
      <c r="E255" s="12">
        <f>6.3609 * CHOOSE( CONTROL!$C$12, $D$11, 100%, $F$11)</f>
        <v>6.3609</v>
      </c>
      <c r="F255" s="4">
        <f>7.357 * CHOOSE(CONTROL!$C$12, $D$11, 100%, $F$11)</f>
        <v>7.3570000000000002</v>
      </c>
      <c r="G255" s="8">
        <f>6.211 * CHOOSE( CONTROL!$C$12, $D$11, 100%, $F$11)</f>
        <v>6.2110000000000003</v>
      </c>
      <c r="H255" s="4">
        <f>7.0951 * CHOOSE(CONTROL!$C$12, $D$11, 100%, $F$11)</f>
        <v>7.0951000000000004</v>
      </c>
      <c r="I255" s="8">
        <f>6.1891 * CHOOSE(CONTROL!$C$12, $D$11, 100%, $F$11)</f>
        <v>6.1890999999999998</v>
      </c>
      <c r="J255" s="4">
        <f>6.092 * CHOOSE(CONTROL!$C$12, $D$11, 100%, $F$11)</f>
        <v>6.0919999999999996</v>
      </c>
      <c r="K255" s="4"/>
      <c r="L255" s="9">
        <v>26.515499999999999</v>
      </c>
      <c r="M255" s="9">
        <v>11.6745</v>
      </c>
      <c r="N255" s="9">
        <v>4.7850000000000001</v>
      </c>
      <c r="O255" s="9">
        <v>0.36249999999999999</v>
      </c>
      <c r="P255" s="9">
        <v>1.2522</v>
      </c>
      <c r="Q255" s="9">
        <v>29.6568</v>
      </c>
      <c r="R255" s="9"/>
      <c r="S255" s="11"/>
    </row>
    <row r="256" spans="1:19" ht="15.75">
      <c r="A256" s="14">
        <v>49644</v>
      </c>
      <c r="B256" s="8">
        <f>6.3512 * CHOOSE(CONTROL!$C$12, $D$11, 100%, $F$11)</f>
        <v>6.3512000000000004</v>
      </c>
      <c r="C256" s="8">
        <f>6.3616 * CHOOSE(CONTROL!$C$12, $D$11, 100%, $F$11)</f>
        <v>6.3616000000000001</v>
      </c>
      <c r="D256" s="8">
        <f>6.346 * CHOOSE( CONTROL!$C$12, $D$11, 100%, $F$11)</f>
        <v>6.3460000000000001</v>
      </c>
      <c r="E256" s="12">
        <f>6.3506 * CHOOSE( CONTROL!$C$12, $D$11, 100%, $F$11)</f>
        <v>6.3506</v>
      </c>
      <c r="F256" s="4">
        <f>7.3454 * CHOOSE(CONTROL!$C$12, $D$11, 100%, $F$11)</f>
        <v>7.3453999999999997</v>
      </c>
      <c r="G256" s="8">
        <f>6.2013 * CHOOSE( CONTROL!$C$12, $D$11, 100%, $F$11)</f>
        <v>6.2012999999999998</v>
      </c>
      <c r="H256" s="4">
        <f>7.0838 * CHOOSE(CONTROL!$C$12, $D$11, 100%, $F$11)</f>
        <v>7.0838000000000001</v>
      </c>
      <c r="I256" s="8">
        <f>6.1852 * CHOOSE(CONTROL!$C$12, $D$11, 100%, $F$11)</f>
        <v>6.1852</v>
      </c>
      <c r="J256" s="4">
        <f>6.0809 * CHOOSE(CONTROL!$C$12, $D$11, 100%, $F$11)</f>
        <v>6.0808999999999997</v>
      </c>
      <c r="K256" s="4"/>
      <c r="L256" s="9">
        <v>27.3993</v>
      </c>
      <c r="M256" s="9">
        <v>12.063700000000001</v>
      </c>
      <c r="N256" s="9">
        <v>4.9444999999999997</v>
      </c>
      <c r="O256" s="9">
        <v>0.37459999999999999</v>
      </c>
      <c r="P256" s="9">
        <v>1.2939000000000001</v>
      </c>
      <c r="Q256" s="9">
        <v>30.645399999999999</v>
      </c>
      <c r="R256" s="9"/>
      <c r="S256" s="11"/>
    </row>
    <row r="257" spans="1:19" ht="15.75">
      <c r="A257" s="14">
        <v>49675</v>
      </c>
      <c r="B257" s="8">
        <f>6.5937 * CHOOSE(CONTROL!$C$12, $D$11, 100%, $F$11)</f>
        <v>6.5937000000000001</v>
      </c>
      <c r="C257" s="8">
        <f>6.6042 * CHOOSE(CONTROL!$C$12, $D$11, 100%, $F$11)</f>
        <v>6.6041999999999996</v>
      </c>
      <c r="D257" s="8">
        <f>6.6018 * CHOOSE( CONTROL!$C$12, $D$11, 100%, $F$11)</f>
        <v>6.6017999999999999</v>
      </c>
      <c r="E257" s="12">
        <f>6.6016 * CHOOSE( CONTROL!$C$12, $D$11, 100%, $F$11)</f>
        <v>6.6016000000000004</v>
      </c>
      <c r="F257" s="4">
        <f>7.6166 * CHOOSE(CONTROL!$C$12, $D$11, 100%, $F$11)</f>
        <v>7.6166</v>
      </c>
      <c r="G257" s="8">
        <f>6.4549 * CHOOSE( CONTROL!$C$12, $D$11, 100%, $F$11)</f>
        <v>6.4549000000000003</v>
      </c>
      <c r="H257" s="4">
        <f>7.3482 * CHOOSE(CONTROL!$C$12, $D$11, 100%, $F$11)</f>
        <v>7.3482000000000003</v>
      </c>
      <c r="I257" s="8">
        <f>6.4251 * CHOOSE(CONTROL!$C$12, $D$11, 100%, $F$11)</f>
        <v>6.4250999999999996</v>
      </c>
      <c r="J257" s="4">
        <f>6.3134 * CHOOSE(CONTROL!$C$12, $D$11, 100%, $F$11)</f>
        <v>6.3133999999999997</v>
      </c>
      <c r="K257" s="4"/>
      <c r="L257" s="9">
        <v>27.3993</v>
      </c>
      <c r="M257" s="9">
        <v>12.063700000000001</v>
      </c>
      <c r="N257" s="9">
        <v>4.9444999999999997</v>
      </c>
      <c r="O257" s="9">
        <v>0.37459999999999999</v>
      </c>
      <c r="P257" s="9">
        <v>1.2939000000000001</v>
      </c>
      <c r="Q257" s="9">
        <v>30.580300000000001</v>
      </c>
      <c r="R257" s="9"/>
      <c r="S257" s="11"/>
    </row>
    <row r="258" spans="1:19" ht="15.75">
      <c r="A258" s="14">
        <v>49706</v>
      </c>
      <c r="B258" s="8">
        <f>6.1678 * CHOOSE(CONTROL!$C$12, $D$11, 100%, $F$11)</f>
        <v>6.1677999999999997</v>
      </c>
      <c r="C258" s="8">
        <f>6.1782 * CHOOSE(CONTROL!$C$12, $D$11, 100%, $F$11)</f>
        <v>6.1782000000000004</v>
      </c>
      <c r="D258" s="8">
        <f>6.1782 * CHOOSE( CONTROL!$C$12, $D$11, 100%, $F$11)</f>
        <v>6.1782000000000004</v>
      </c>
      <c r="E258" s="12">
        <f>6.1771 * CHOOSE( CONTROL!$C$12, $D$11, 100%, $F$11)</f>
        <v>6.1771000000000003</v>
      </c>
      <c r="F258" s="4">
        <f>7.1829 * CHOOSE(CONTROL!$C$12, $D$11, 100%, $F$11)</f>
        <v>7.1829000000000001</v>
      </c>
      <c r="G258" s="8">
        <f>6.0395 * CHOOSE( CONTROL!$C$12, $D$11, 100%, $F$11)</f>
        <v>6.0395000000000003</v>
      </c>
      <c r="H258" s="4">
        <f>6.9254 * CHOOSE(CONTROL!$C$12, $D$11, 100%, $F$11)</f>
        <v>6.9253999999999998</v>
      </c>
      <c r="I258" s="8">
        <f>6.0058 * CHOOSE(CONTROL!$C$12, $D$11, 100%, $F$11)</f>
        <v>6.0057999999999998</v>
      </c>
      <c r="J258" s="4">
        <f>5.9052 * CHOOSE(CONTROL!$C$12, $D$11, 100%, $F$11)</f>
        <v>5.9051999999999998</v>
      </c>
      <c r="K258" s="4"/>
      <c r="L258" s="9">
        <v>25.631599999999999</v>
      </c>
      <c r="M258" s="9">
        <v>11.285299999999999</v>
      </c>
      <c r="N258" s="9">
        <v>4.6254999999999997</v>
      </c>
      <c r="O258" s="9">
        <v>0.35039999999999999</v>
      </c>
      <c r="P258" s="9">
        <v>1.2104999999999999</v>
      </c>
      <c r="Q258" s="9">
        <v>28.607299999999999</v>
      </c>
      <c r="R258" s="9"/>
      <c r="S258" s="11"/>
    </row>
    <row r="259" spans="1:19" ht="15.75">
      <c r="A259" s="14">
        <v>49735</v>
      </c>
      <c r="B259" s="8">
        <f>6.0366 * CHOOSE(CONTROL!$C$12, $D$11, 100%, $F$11)</f>
        <v>6.0366</v>
      </c>
      <c r="C259" s="8">
        <f>6.047 * CHOOSE(CONTROL!$C$12, $D$11, 100%, $F$11)</f>
        <v>6.0469999999999997</v>
      </c>
      <c r="D259" s="8">
        <f>6.0269 * CHOOSE( CONTROL!$C$12, $D$11, 100%, $F$11)</f>
        <v>6.0269000000000004</v>
      </c>
      <c r="E259" s="12">
        <f>6.0331 * CHOOSE( CONTROL!$C$12, $D$11, 100%, $F$11)</f>
        <v>6.0331000000000001</v>
      </c>
      <c r="F259" s="4">
        <f>7.0355 * CHOOSE(CONTROL!$C$12, $D$11, 100%, $F$11)</f>
        <v>7.0354999999999999</v>
      </c>
      <c r="G259" s="8">
        <f>5.8912 * CHOOSE( CONTROL!$C$12, $D$11, 100%, $F$11)</f>
        <v>5.8912000000000004</v>
      </c>
      <c r="H259" s="4">
        <f>6.7818 * CHOOSE(CONTROL!$C$12, $D$11, 100%, $F$11)</f>
        <v>6.7817999999999996</v>
      </c>
      <c r="I259" s="8">
        <f>5.8405 * CHOOSE(CONTROL!$C$12, $D$11, 100%, $F$11)</f>
        <v>5.8404999999999996</v>
      </c>
      <c r="J259" s="4">
        <f>5.7795 * CHOOSE(CONTROL!$C$12, $D$11, 100%, $F$11)</f>
        <v>5.7794999999999996</v>
      </c>
      <c r="K259" s="4"/>
      <c r="L259" s="9">
        <v>27.3993</v>
      </c>
      <c r="M259" s="9">
        <v>12.063700000000001</v>
      </c>
      <c r="N259" s="9">
        <v>4.9444999999999997</v>
      </c>
      <c r="O259" s="9">
        <v>0.37459999999999999</v>
      </c>
      <c r="P259" s="9">
        <v>1.2939000000000001</v>
      </c>
      <c r="Q259" s="9">
        <v>30.580300000000001</v>
      </c>
      <c r="R259" s="9"/>
      <c r="S259" s="11"/>
    </row>
    <row r="260" spans="1:19" ht="15.75">
      <c r="A260" s="14">
        <v>49766</v>
      </c>
      <c r="B260" s="8">
        <f>6.1283 * CHOOSE(CONTROL!$C$12, $D$11, 100%, $F$11)</f>
        <v>6.1283000000000003</v>
      </c>
      <c r="C260" s="8">
        <f>6.1387 * CHOOSE(CONTROL!$C$12, $D$11, 100%, $F$11)</f>
        <v>6.1387</v>
      </c>
      <c r="D260" s="8">
        <f>6.1419 * CHOOSE( CONTROL!$C$12, $D$11, 100%, $F$11)</f>
        <v>6.1418999999999997</v>
      </c>
      <c r="E260" s="12">
        <f>6.1397 * CHOOSE( CONTROL!$C$12, $D$11, 100%, $F$11)</f>
        <v>6.1397000000000004</v>
      </c>
      <c r="F260" s="4">
        <f>7.1355 * CHOOSE(CONTROL!$C$12, $D$11, 100%, $F$11)</f>
        <v>7.1355000000000004</v>
      </c>
      <c r="G260" s="8">
        <f>5.9684 * CHOOSE( CONTROL!$C$12, $D$11, 100%, $F$11)</f>
        <v>5.9683999999999999</v>
      </c>
      <c r="H260" s="4">
        <f>6.8793 * CHOOSE(CONTROL!$C$12, $D$11, 100%, $F$11)</f>
        <v>6.8792999999999997</v>
      </c>
      <c r="I260" s="8">
        <f>5.9185 * CHOOSE(CONTROL!$C$12, $D$11, 100%, $F$11)</f>
        <v>5.9184999999999999</v>
      </c>
      <c r="J260" s="4">
        <f>5.8673 * CHOOSE(CONTROL!$C$12, $D$11, 100%, $F$11)</f>
        <v>5.8673000000000002</v>
      </c>
      <c r="K260" s="4"/>
      <c r="L260" s="9">
        <v>27.988800000000001</v>
      </c>
      <c r="M260" s="9">
        <v>11.6745</v>
      </c>
      <c r="N260" s="9">
        <v>4.7850000000000001</v>
      </c>
      <c r="O260" s="9">
        <v>0.36249999999999999</v>
      </c>
      <c r="P260" s="9">
        <v>1.1798</v>
      </c>
      <c r="Q260" s="9">
        <v>29.593800000000002</v>
      </c>
      <c r="R260" s="9"/>
      <c r="S260" s="11"/>
    </row>
    <row r="261" spans="1:19" ht="15.75">
      <c r="A261" s="14">
        <v>49796</v>
      </c>
      <c r="B261" s="8">
        <f>CHOOSE( CONTROL!$C$29, 6.2957, 6.2914) * CHOOSE(CONTROL!$C$12, $D$11, 100%, $F$11)</f>
        <v>6.2957000000000001</v>
      </c>
      <c r="C261" s="8">
        <f>CHOOSE( CONTROL!$C$29, 6.3061, 6.3019) * CHOOSE(CONTROL!$C$12, $D$11, 100%, $F$11)</f>
        <v>6.3060999999999998</v>
      </c>
      <c r="D261" s="8">
        <f>CHOOSE( CONTROL!$C$29, 6.284, 6.2798) * CHOOSE( CONTROL!$C$12, $D$11, 100%, $F$11)</f>
        <v>6.2839999999999998</v>
      </c>
      <c r="E261" s="12">
        <f>CHOOSE( CONTROL!$C$29, 6.2904, 6.2862) * CHOOSE( CONTROL!$C$12, $D$11, 100%, $F$11)</f>
        <v>6.2904</v>
      </c>
      <c r="F261" s="4">
        <f>CHOOSE( CONTROL!$C$29, 7.2706, 7.2663) * CHOOSE(CONTROL!$C$12, $D$11, 100%, $F$11)</f>
        <v>7.2706</v>
      </c>
      <c r="G261" s="8">
        <f>CHOOSE( CONTROL!$C$29, 6.1128, 6.1087) * CHOOSE( CONTROL!$C$12, $D$11, 100%, $F$11)</f>
        <v>6.1128</v>
      </c>
      <c r="H261" s="4">
        <f>CHOOSE( CONTROL!$C$29, 7.0109, 7.0068) * CHOOSE(CONTROL!$C$12, $D$11, 100%, $F$11)</f>
        <v>7.0109000000000004</v>
      </c>
      <c r="I261" s="8">
        <f>CHOOSE( CONTROL!$C$29, 6.0575, 6.0534) * CHOOSE(CONTROL!$C$12, $D$11, 100%, $F$11)</f>
        <v>6.0575000000000001</v>
      </c>
      <c r="J261" s="4">
        <f>CHOOSE( CONTROL!$C$29, 6.0277, 6.0237) * CHOOSE(CONTROL!$C$12, $D$11, 100%, $F$11)</f>
        <v>6.0277000000000003</v>
      </c>
      <c r="K261" s="4"/>
      <c r="L261" s="9">
        <v>29.520499999999998</v>
      </c>
      <c r="M261" s="9">
        <v>12.063700000000001</v>
      </c>
      <c r="N261" s="9">
        <v>4.9444999999999997</v>
      </c>
      <c r="O261" s="9">
        <v>0.37459999999999999</v>
      </c>
      <c r="P261" s="9">
        <v>1.2192000000000001</v>
      </c>
      <c r="Q261" s="9">
        <v>30.580300000000001</v>
      </c>
      <c r="R261" s="9"/>
      <c r="S261" s="11"/>
    </row>
    <row r="262" spans="1:19" ht="15.75">
      <c r="A262" s="14">
        <v>49827</v>
      </c>
      <c r="B262" s="8">
        <f>CHOOSE( CONTROL!$C$29, 6.1946, 6.1903) * CHOOSE(CONTROL!$C$12, $D$11, 100%, $F$11)</f>
        <v>6.1946000000000003</v>
      </c>
      <c r="C262" s="8">
        <f>CHOOSE( CONTROL!$C$29, 6.205, 6.2008) * CHOOSE(CONTROL!$C$12, $D$11, 100%, $F$11)</f>
        <v>6.2050000000000001</v>
      </c>
      <c r="D262" s="8">
        <f>CHOOSE( CONTROL!$C$29, 6.1774, 6.1731) * CHOOSE( CONTROL!$C$12, $D$11, 100%, $F$11)</f>
        <v>6.1773999999999996</v>
      </c>
      <c r="E262" s="12">
        <f>CHOOSE( CONTROL!$C$29, 6.1858, 6.1815) * CHOOSE( CONTROL!$C$12, $D$11, 100%, $F$11)</f>
        <v>6.1858000000000004</v>
      </c>
      <c r="F262" s="4">
        <f>CHOOSE( CONTROL!$C$29, 7.1591, 7.1548) * CHOOSE(CONTROL!$C$12, $D$11, 100%, $F$11)</f>
        <v>7.1590999999999996</v>
      </c>
      <c r="G262" s="8">
        <f>CHOOSE( CONTROL!$C$29, 6.013, 6.0089) * CHOOSE( CONTROL!$C$12, $D$11, 100%, $F$11)</f>
        <v>6.0129999999999999</v>
      </c>
      <c r="H262" s="4">
        <f>CHOOSE( CONTROL!$C$29, 6.9022, 6.8981) * CHOOSE(CONTROL!$C$12, $D$11, 100%, $F$11)</f>
        <v>6.9021999999999997</v>
      </c>
      <c r="I262" s="8">
        <f>CHOOSE( CONTROL!$C$29, 5.9627, 5.9587) * CHOOSE(CONTROL!$C$12, $D$11, 100%, $F$11)</f>
        <v>5.9626999999999999</v>
      </c>
      <c r="J262" s="4">
        <f>CHOOSE( CONTROL!$C$29, 5.9309, 5.9268) * CHOOSE(CONTROL!$C$12, $D$11, 100%, $F$11)</f>
        <v>5.9309000000000003</v>
      </c>
      <c r="K262" s="4"/>
      <c r="L262" s="9">
        <v>28.568200000000001</v>
      </c>
      <c r="M262" s="9">
        <v>11.6745</v>
      </c>
      <c r="N262" s="9">
        <v>4.7850000000000001</v>
      </c>
      <c r="O262" s="9">
        <v>0.36249999999999999</v>
      </c>
      <c r="P262" s="9">
        <v>1.1798</v>
      </c>
      <c r="Q262" s="9">
        <v>29.593800000000002</v>
      </c>
      <c r="R262" s="9"/>
      <c r="S262" s="11"/>
    </row>
    <row r="263" spans="1:19" ht="15.75">
      <c r="A263" s="14">
        <v>49857</v>
      </c>
      <c r="B263" s="8">
        <f>CHOOSE( CONTROL!$C$29, 6.4608, 6.4565) * CHOOSE(CONTROL!$C$12, $D$11, 100%, $F$11)</f>
        <v>6.4607999999999999</v>
      </c>
      <c r="C263" s="8">
        <f>CHOOSE( CONTROL!$C$29, 6.4712, 6.4669) * CHOOSE(CONTROL!$C$12, $D$11, 100%, $F$11)</f>
        <v>6.4711999999999996</v>
      </c>
      <c r="D263" s="8">
        <f>CHOOSE( CONTROL!$C$29, 6.4773, 6.4731) * CHOOSE( CONTROL!$C$12, $D$11, 100%, $F$11)</f>
        <v>6.4772999999999996</v>
      </c>
      <c r="E263" s="12">
        <f>CHOOSE( CONTROL!$C$29, 6.4735, 6.4693) * CHOOSE( CONTROL!$C$12, $D$11, 100%, $F$11)</f>
        <v>6.4734999999999996</v>
      </c>
      <c r="F263" s="4">
        <f>CHOOSE( CONTROL!$C$29, 7.4706, 7.4664) * CHOOSE(CONTROL!$C$12, $D$11, 100%, $F$11)</f>
        <v>7.4706000000000001</v>
      </c>
      <c r="G263" s="8">
        <f>CHOOSE( CONTROL!$C$29, 6.2985, 6.2944) * CHOOSE( CONTROL!$C$12, $D$11, 100%, $F$11)</f>
        <v>6.2984999999999998</v>
      </c>
      <c r="H263" s="4">
        <f>CHOOSE( CONTROL!$C$29, 7.2059, 7.2018) * CHOOSE(CONTROL!$C$12, $D$11, 100%, $F$11)</f>
        <v>7.2058999999999997</v>
      </c>
      <c r="I263" s="8">
        <f>CHOOSE( CONTROL!$C$29, 6.2732, 6.2691) * CHOOSE(CONTROL!$C$12, $D$11, 100%, $F$11)</f>
        <v>6.2732000000000001</v>
      </c>
      <c r="J263" s="4">
        <f>CHOOSE( CONTROL!$C$29, 6.1859, 6.1819) * CHOOSE(CONTROL!$C$12, $D$11, 100%, $F$11)</f>
        <v>6.1859000000000002</v>
      </c>
      <c r="K263" s="4"/>
      <c r="L263" s="9">
        <v>29.520499999999998</v>
      </c>
      <c r="M263" s="9">
        <v>12.063700000000001</v>
      </c>
      <c r="N263" s="9">
        <v>4.9444999999999997</v>
      </c>
      <c r="O263" s="9">
        <v>0.37459999999999999</v>
      </c>
      <c r="P263" s="9">
        <v>1.2192000000000001</v>
      </c>
      <c r="Q263" s="9">
        <v>30.580300000000001</v>
      </c>
      <c r="R263" s="9"/>
      <c r="S263" s="11"/>
    </row>
    <row r="264" spans="1:19" ht="15.75">
      <c r="A264" s="14">
        <v>49888</v>
      </c>
      <c r="B264" s="8">
        <f>CHOOSE( CONTROL!$C$29, 5.9627, 5.9585) * CHOOSE(CONTROL!$C$12, $D$11, 100%, $F$11)</f>
        <v>5.9626999999999999</v>
      </c>
      <c r="C264" s="8">
        <f>CHOOSE( CONTROL!$C$29, 5.9732, 5.9689) * CHOOSE(CONTROL!$C$12, $D$11, 100%, $F$11)</f>
        <v>5.9732000000000003</v>
      </c>
      <c r="D264" s="8">
        <f>CHOOSE( CONTROL!$C$29, 5.9958, 5.9915) * CHOOSE( CONTROL!$C$12, $D$11, 100%, $F$11)</f>
        <v>5.9958</v>
      </c>
      <c r="E264" s="12">
        <f>CHOOSE( CONTROL!$C$29, 5.986, 5.9817) * CHOOSE( CONTROL!$C$12, $D$11, 100%, $F$11)</f>
        <v>5.9859999999999998</v>
      </c>
      <c r="F264" s="4">
        <f>CHOOSE( CONTROL!$C$29, 7.0013, 6.9971) * CHOOSE(CONTROL!$C$12, $D$11, 100%, $F$11)</f>
        <v>7.0012999999999996</v>
      </c>
      <c r="G264" s="8">
        <f>CHOOSE( CONTROL!$C$29, 5.8187, 5.8145) * CHOOSE( CONTROL!$C$12, $D$11, 100%, $F$11)</f>
        <v>5.8186999999999998</v>
      </c>
      <c r="H264" s="4">
        <f>CHOOSE( CONTROL!$C$29, 6.7484, 6.7443) * CHOOSE(CONTROL!$C$12, $D$11, 100%, $F$11)</f>
        <v>6.7484000000000002</v>
      </c>
      <c r="I264" s="8">
        <f>CHOOSE( CONTROL!$C$29, 5.7872, 5.7832) * CHOOSE(CONTROL!$C$12, $D$11, 100%, $F$11)</f>
        <v>5.7872000000000003</v>
      </c>
      <c r="J264" s="4">
        <f>CHOOSE( CONTROL!$C$29, 5.7087, 5.7047) * CHOOSE(CONTROL!$C$12, $D$11, 100%, $F$11)</f>
        <v>5.7087000000000003</v>
      </c>
      <c r="K264" s="4"/>
      <c r="L264" s="9">
        <v>29.520499999999998</v>
      </c>
      <c r="M264" s="9">
        <v>12.063700000000001</v>
      </c>
      <c r="N264" s="9">
        <v>4.9444999999999997</v>
      </c>
      <c r="O264" s="9">
        <v>0.37459999999999999</v>
      </c>
      <c r="P264" s="9">
        <v>1.2192000000000001</v>
      </c>
      <c r="Q264" s="9">
        <v>30.580300000000001</v>
      </c>
      <c r="R264" s="9"/>
      <c r="S264" s="11"/>
    </row>
    <row r="265" spans="1:19" ht="15.75">
      <c r="A265" s="14">
        <v>49919</v>
      </c>
      <c r="B265" s="8">
        <f>CHOOSE( CONTROL!$C$29, 5.838, 5.8338) * CHOOSE(CONTROL!$C$12, $D$11, 100%, $F$11)</f>
        <v>5.8380000000000001</v>
      </c>
      <c r="C265" s="8">
        <f>CHOOSE( CONTROL!$C$29, 5.8485, 5.8442) * CHOOSE(CONTROL!$C$12, $D$11, 100%, $F$11)</f>
        <v>5.8484999999999996</v>
      </c>
      <c r="D265" s="8">
        <f>CHOOSE( CONTROL!$C$29, 5.871, 5.8668) * CHOOSE( CONTROL!$C$12, $D$11, 100%, $F$11)</f>
        <v>5.8710000000000004</v>
      </c>
      <c r="E265" s="12">
        <f>CHOOSE( CONTROL!$C$29, 5.8612, 5.857) * CHOOSE( CONTROL!$C$12, $D$11, 100%, $F$11)</f>
        <v>5.8612000000000002</v>
      </c>
      <c r="F265" s="4">
        <f>CHOOSE( CONTROL!$C$29, 6.8766, 6.8723) * CHOOSE(CONTROL!$C$12, $D$11, 100%, $F$11)</f>
        <v>6.8765999999999998</v>
      </c>
      <c r="G265" s="8">
        <f>CHOOSE( CONTROL!$C$29, 5.6968, 5.6926) * CHOOSE( CONTROL!$C$12, $D$11, 100%, $F$11)</f>
        <v>5.6967999999999996</v>
      </c>
      <c r="H265" s="4">
        <f>CHOOSE( CONTROL!$C$29, 6.6269, 6.6227) * CHOOSE(CONTROL!$C$12, $D$11, 100%, $F$11)</f>
        <v>6.6269</v>
      </c>
      <c r="I265" s="8">
        <f>CHOOSE( CONTROL!$C$29, 5.6659, 5.6619) * CHOOSE(CONTROL!$C$12, $D$11, 100%, $F$11)</f>
        <v>5.6658999999999997</v>
      </c>
      <c r="J265" s="4">
        <f>CHOOSE( CONTROL!$C$29, 5.5892, 5.5852) * CHOOSE(CONTROL!$C$12, $D$11, 100%, $F$11)</f>
        <v>5.5891999999999999</v>
      </c>
      <c r="K265" s="4"/>
      <c r="L265" s="9">
        <v>28.568200000000001</v>
      </c>
      <c r="M265" s="9">
        <v>11.6745</v>
      </c>
      <c r="N265" s="9">
        <v>4.7850000000000001</v>
      </c>
      <c r="O265" s="9">
        <v>0.36249999999999999</v>
      </c>
      <c r="P265" s="9">
        <v>1.1798</v>
      </c>
      <c r="Q265" s="9">
        <v>29.593800000000002</v>
      </c>
      <c r="R265" s="9"/>
      <c r="S265" s="11"/>
    </row>
    <row r="266" spans="1:19" ht="15.75">
      <c r="A266" s="14">
        <v>49949</v>
      </c>
      <c r="B266" s="8">
        <f>6.0927 * CHOOSE(CONTROL!$C$12, $D$11, 100%, $F$11)</f>
        <v>6.0926999999999998</v>
      </c>
      <c r="C266" s="8">
        <f>6.1032 * CHOOSE(CONTROL!$C$12, $D$11, 100%, $F$11)</f>
        <v>6.1032000000000002</v>
      </c>
      <c r="D266" s="8">
        <f>6.1076 * CHOOSE( CONTROL!$C$12, $D$11, 100%, $F$11)</f>
        <v>6.1075999999999997</v>
      </c>
      <c r="E266" s="12">
        <f>6.105 * CHOOSE( CONTROL!$C$12, $D$11, 100%, $F$11)</f>
        <v>6.1050000000000004</v>
      </c>
      <c r="F266" s="4">
        <f>7.1 * CHOOSE(CONTROL!$C$12, $D$11, 100%, $F$11)</f>
        <v>7.1</v>
      </c>
      <c r="G266" s="8">
        <f>5.9353 * CHOOSE( CONTROL!$C$12, $D$11, 100%, $F$11)</f>
        <v>5.9352999999999998</v>
      </c>
      <c r="H266" s="4">
        <f>6.8446 * CHOOSE(CONTROL!$C$12, $D$11, 100%, $F$11)</f>
        <v>6.8445999999999998</v>
      </c>
      <c r="I266" s="8">
        <f>5.9068 * CHOOSE(CONTROL!$C$12, $D$11, 100%, $F$11)</f>
        <v>5.9067999999999996</v>
      </c>
      <c r="J266" s="4">
        <f>5.8333 * CHOOSE(CONTROL!$C$12, $D$11, 100%, $F$11)</f>
        <v>5.8333000000000004</v>
      </c>
      <c r="K266" s="4"/>
      <c r="L266" s="9">
        <v>28.921800000000001</v>
      </c>
      <c r="M266" s="9">
        <v>12.063700000000001</v>
      </c>
      <c r="N266" s="9">
        <v>4.9444999999999997</v>
      </c>
      <c r="O266" s="9">
        <v>0.37459999999999999</v>
      </c>
      <c r="P266" s="9">
        <v>1.2192000000000001</v>
      </c>
      <c r="Q266" s="9">
        <v>30.580300000000001</v>
      </c>
      <c r="R266" s="9"/>
      <c r="S266" s="11"/>
    </row>
    <row r="267" spans="1:19" ht="15.75">
      <c r="A267" s="14">
        <v>49980</v>
      </c>
      <c r="B267" s="8">
        <f>6.5707 * CHOOSE(CONTROL!$C$12, $D$11, 100%, $F$11)</f>
        <v>6.5707000000000004</v>
      </c>
      <c r="C267" s="8">
        <f>6.5811 * CHOOSE(CONTROL!$C$12, $D$11, 100%, $F$11)</f>
        <v>6.5811000000000002</v>
      </c>
      <c r="D267" s="8">
        <f>6.5635 * CHOOSE( CONTROL!$C$12, $D$11, 100%, $F$11)</f>
        <v>6.5635000000000003</v>
      </c>
      <c r="E267" s="12">
        <f>6.5688 * CHOOSE( CONTROL!$C$12, $D$11, 100%, $F$11)</f>
        <v>6.5688000000000004</v>
      </c>
      <c r="F267" s="4">
        <f>7.5649 * CHOOSE(CONTROL!$C$12, $D$11, 100%, $F$11)</f>
        <v>7.5648999999999997</v>
      </c>
      <c r="G267" s="8">
        <f>6.4137 * CHOOSE( CONTROL!$C$12, $D$11, 100%, $F$11)</f>
        <v>6.4137000000000004</v>
      </c>
      <c r="H267" s="4">
        <f>7.2978 * CHOOSE(CONTROL!$C$12, $D$11, 100%, $F$11)</f>
        <v>7.2977999999999996</v>
      </c>
      <c r="I267" s="8">
        <f>6.3884 * CHOOSE(CONTROL!$C$12, $D$11, 100%, $F$11)</f>
        <v>6.3883999999999999</v>
      </c>
      <c r="J267" s="4">
        <f>6.2913 * CHOOSE(CONTROL!$C$12, $D$11, 100%, $F$11)</f>
        <v>6.2912999999999997</v>
      </c>
      <c r="K267" s="4"/>
      <c r="L267" s="9">
        <v>26.515499999999999</v>
      </c>
      <c r="M267" s="9">
        <v>11.6745</v>
      </c>
      <c r="N267" s="9">
        <v>4.7850000000000001</v>
      </c>
      <c r="O267" s="9">
        <v>0.36249999999999999</v>
      </c>
      <c r="P267" s="9">
        <v>1.2522</v>
      </c>
      <c r="Q267" s="9">
        <v>29.593800000000002</v>
      </c>
      <c r="R267" s="9"/>
      <c r="S267" s="11"/>
    </row>
    <row r="268" spans="1:19" ht="15.75">
      <c r="A268" s="14">
        <v>50010</v>
      </c>
      <c r="B268" s="8">
        <f>6.5587 * CHOOSE(CONTROL!$C$12, $D$11, 100%, $F$11)</f>
        <v>6.5587</v>
      </c>
      <c r="C268" s="8">
        <f>6.5692 * CHOOSE(CONTROL!$C$12, $D$11, 100%, $F$11)</f>
        <v>6.5692000000000004</v>
      </c>
      <c r="D268" s="8">
        <f>6.5536 * CHOOSE( CONTROL!$C$12, $D$11, 100%, $F$11)</f>
        <v>6.5536000000000003</v>
      </c>
      <c r="E268" s="12">
        <f>6.5582 * CHOOSE( CONTROL!$C$12, $D$11, 100%, $F$11)</f>
        <v>6.5582000000000003</v>
      </c>
      <c r="F268" s="4">
        <f>7.5529 * CHOOSE(CONTROL!$C$12, $D$11, 100%, $F$11)</f>
        <v>7.5529000000000002</v>
      </c>
      <c r="G268" s="8">
        <f>6.4036 * CHOOSE( CONTROL!$C$12, $D$11, 100%, $F$11)</f>
        <v>6.4036</v>
      </c>
      <c r="H268" s="4">
        <f>7.2861 * CHOOSE(CONTROL!$C$12, $D$11, 100%, $F$11)</f>
        <v>7.2861000000000002</v>
      </c>
      <c r="I268" s="8">
        <f>6.3842 * CHOOSE(CONTROL!$C$12, $D$11, 100%, $F$11)</f>
        <v>6.3841999999999999</v>
      </c>
      <c r="J268" s="4">
        <f>6.2798 * CHOOSE(CONTROL!$C$12, $D$11, 100%, $F$11)</f>
        <v>6.2797999999999998</v>
      </c>
      <c r="K268" s="4"/>
      <c r="L268" s="9">
        <v>27.3993</v>
      </c>
      <c r="M268" s="9">
        <v>12.063700000000001</v>
      </c>
      <c r="N268" s="9">
        <v>4.9444999999999997</v>
      </c>
      <c r="O268" s="9">
        <v>0.37459999999999999</v>
      </c>
      <c r="P268" s="9">
        <v>1.2939000000000001</v>
      </c>
      <c r="Q268" s="9">
        <v>30.580300000000001</v>
      </c>
      <c r="R268" s="9"/>
      <c r="S268" s="11"/>
    </row>
    <row r="269" spans="1:19" ht="15.75">
      <c r="A269" s="14">
        <v>50041</v>
      </c>
      <c r="B269" s="8">
        <f>6.8092 * CHOOSE(CONTROL!$C$12, $D$11, 100%, $F$11)</f>
        <v>6.8091999999999997</v>
      </c>
      <c r="C269" s="8">
        <f>6.8196 * CHOOSE(CONTROL!$C$12, $D$11, 100%, $F$11)</f>
        <v>6.8196000000000003</v>
      </c>
      <c r="D269" s="8">
        <f>6.8173 * CHOOSE( CONTROL!$C$12, $D$11, 100%, $F$11)</f>
        <v>6.8173000000000004</v>
      </c>
      <c r="E269" s="12">
        <f>6.817 * CHOOSE( CONTROL!$C$12, $D$11, 100%, $F$11)</f>
        <v>6.8170000000000002</v>
      </c>
      <c r="F269" s="4">
        <f>7.8321 * CHOOSE(CONTROL!$C$12, $D$11, 100%, $F$11)</f>
        <v>7.8320999999999996</v>
      </c>
      <c r="G269" s="8">
        <f>6.6649 * CHOOSE( CONTROL!$C$12, $D$11, 100%, $F$11)</f>
        <v>6.6649000000000003</v>
      </c>
      <c r="H269" s="4">
        <f>7.5583 * CHOOSE(CONTROL!$C$12, $D$11, 100%, $F$11)</f>
        <v>7.5583</v>
      </c>
      <c r="I269" s="8">
        <f>6.6317 * CHOOSE(CONTROL!$C$12, $D$11, 100%, $F$11)</f>
        <v>6.6317000000000004</v>
      </c>
      <c r="J269" s="4">
        <f>6.5198 * CHOOSE(CONTROL!$C$12, $D$11, 100%, $F$11)</f>
        <v>6.5198</v>
      </c>
      <c r="K269" s="4"/>
      <c r="L269" s="9">
        <v>27.3993</v>
      </c>
      <c r="M269" s="9">
        <v>12.063700000000001</v>
      </c>
      <c r="N269" s="9">
        <v>4.9444999999999997</v>
      </c>
      <c r="O269" s="9">
        <v>0.37459999999999999</v>
      </c>
      <c r="P269" s="9">
        <v>1.2939000000000001</v>
      </c>
      <c r="Q269" s="9">
        <v>30.5152</v>
      </c>
      <c r="R269" s="9"/>
      <c r="S269" s="11"/>
    </row>
    <row r="270" spans="1:19" ht="15.75">
      <c r="A270" s="14">
        <v>50072</v>
      </c>
      <c r="B270" s="8">
        <f>6.3693 * CHOOSE(CONTROL!$C$12, $D$11, 100%, $F$11)</f>
        <v>6.3693</v>
      </c>
      <c r="C270" s="8">
        <f>6.3798 * CHOOSE(CONTROL!$C$12, $D$11, 100%, $F$11)</f>
        <v>6.3798000000000004</v>
      </c>
      <c r="D270" s="8">
        <f>6.3797 * CHOOSE( CONTROL!$C$12, $D$11, 100%, $F$11)</f>
        <v>6.3796999999999997</v>
      </c>
      <c r="E270" s="12">
        <f>6.3786 * CHOOSE( CONTROL!$C$12, $D$11, 100%, $F$11)</f>
        <v>6.3785999999999996</v>
      </c>
      <c r="F270" s="4">
        <f>7.3844 * CHOOSE(CONTROL!$C$12, $D$11, 100%, $F$11)</f>
        <v>7.3844000000000003</v>
      </c>
      <c r="G270" s="8">
        <f>6.236 * CHOOSE( CONTROL!$C$12, $D$11, 100%, $F$11)</f>
        <v>6.2359999999999998</v>
      </c>
      <c r="H270" s="4">
        <f>7.1219 * CHOOSE(CONTROL!$C$12, $D$11, 100%, $F$11)</f>
        <v>7.1219000000000001</v>
      </c>
      <c r="I270" s="8">
        <f>6.199 * CHOOSE(CONTROL!$C$12, $D$11, 100%, $F$11)</f>
        <v>6.1989999999999998</v>
      </c>
      <c r="J270" s="4">
        <f>6.0983 * CHOOSE(CONTROL!$C$12, $D$11, 100%, $F$11)</f>
        <v>6.0983000000000001</v>
      </c>
      <c r="K270" s="4"/>
      <c r="L270" s="9">
        <v>24.747800000000002</v>
      </c>
      <c r="M270" s="9">
        <v>10.8962</v>
      </c>
      <c r="N270" s="9">
        <v>4.4660000000000002</v>
      </c>
      <c r="O270" s="9">
        <v>0.33829999999999999</v>
      </c>
      <c r="P270" s="9">
        <v>1.1687000000000001</v>
      </c>
      <c r="Q270" s="9">
        <v>27.562100000000001</v>
      </c>
      <c r="R270" s="9"/>
      <c r="S270" s="11"/>
    </row>
    <row r="271" spans="1:19" ht="15.75">
      <c r="A271" s="14">
        <v>50100</v>
      </c>
      <c r="B271" s="8">
        <f>6.2338 * CHOOSE(CONTROL!$C$12, $D$11, 100%, $F$11)</f>
        <v>6.2337999999999996</v>
      </c>
      <c r="C271" s="8">
        <f>6.2443 * CHOOSE(CONTROL!$C$12, $D$11, 100%, $F$11)</f>
        <v>6.2443</v>
      </c>
      <c r="D271" s="8">
        <f>6.2241 * CHOOSE( CONTROL!$C$12, $D$11, 100%, $F$11)</f>
        <v>6.2241</v>
      </c>
      <c r="E271" s="12">
        <f>6.2304 * CHOOSE( CONTROL!$C$12, $D$11, 100%, $F$11)</f>
        <v>6.2304000000000004</v>
      </c>
      <c r="F271" s="4">
        <f>7.2327 * CHOOSE(CONTROL!$C$12, $D$11, 100%, $F$11)</f>
        <v>7.2327000000000004</v>
      </c>
      <c r="G271" s="8">
        <f>6.0834 * CHOOSE( CONTROL!$C$12, $D$11, 100%, $F$11)</f>
        <v>6.0834000000000001</v>
      </c>
      <c r="H271" s="4">
        <f>6.974 * CHOOSE(CONTROL!$C$12, $D$11, 100%, $F$11)</f>
        <v>6.9740000000000002</v>
      </c>
      <c r="I271" s="8">
        <f>6.0296 * CHOOSE(CONTROL!$C$12, $D$11, 100%, $F$11)</f>
        <v>6.0296000000000003</v>
      </c>
      <c r="J271" s="4">
        <f>5.9685 * CHOOSE(CONTROL!$C$12, $D$11, 100%, $F$11)</f>
        <v>5.9684999999999997</v>
      </c>
      <c r="K271" s="4"/>
      <c r="L271" s="9">
        <v>27.3993</v>
      </c>
      <c r="M271" s="9">
        <v>12.063700000000001</v>
      </c>
      <c r="N271" s="9">
        <v>4.9444999999999997</v>
      </c>
      <c r="O271" s="9">
        <v>0.37459999999999999</v>
      </c>
      <c r="P271" s="9">
        <v>1.2939000000000001</v>
      </c>
      <c r="Q271" s="9">
        <v>30.5152</v>
      </c>
      <c r="R271" s="9"/>
      <c r="S271" s="11"/>
    </row>
    <row r="272" spans="1:19" ht="15.75">
      <c r="A272" s="14">
        <v>50131</v>
      </c>
      <c r="B272" s="8">
        <f>6.3285 * CHOOSE(CONTROL!$C$12, $D$11, 100%, $F$11)</f>
        <v>6.3285</v>
      </c>
      <c r="C272" s="8">
        <f>6.339 * CHOOSE(CONTROL!$C$12, $D$11, 100%, $F$11)</f>
        <v>6.3390000000000004</v>
      </c>
      <c r="D272" s="8">
        <f>6.3422 * CHOOSE( CONTROL!$C$12, $D$11, 100%, $F$11)</f>
        <v>6.3422000000000001</v>
      </c>
      <c r="E272" s="12">
        <f>6.3399 * CHOOSE( CONTROL!$C$12, $D$11, 100%, $F$11)</f>
        <v>6.3399000000000001</v>
      </c>
      <c r="F272" s="4">
        <f>7.3358 * CHOOSE(CONTROL!$C$12, $D$11, 100%, $F$11)</f>
        <v>7.3357999999999999</v>
      </c>
      <c r="G272" s="8">
        <f>6.1636 * CHOOSE( CONTROL!$C$12, $D$11, 100%, $F$11)</f>
        <v>6.1635999999999997</v>
      </c>
      <c r="H272" s="4">
        <f>7.0745 * CHOOSE(CONTROL!$C$12, $D$11, 100%, $F$11)</f>
        <v>7.0744999999999996</v>
      </c>
      <c r="I272" s="8">
        <f>6.1105 * CHOOSE(CONTROL!$C$12, $D$11, 100%, $F$11)</f>
        <v>6.1105</v>
      </c>
      <c r="J272" s="4">
        <f>6.0592 * CHOOSE(CONTROL!$C$12, $D$11, 100%, $F$11)</f>
        <v>6.0591999999999997</v>
      </c>
      <c r="K272" s="4"/>
      <c r="L272" s="9">
        <v>27.988800000000001</v>
      </c>
      <c r="M272" s="9">
        <v>11.6745</v>
      </c>
      <c r="N272" s="9">
        <v>4.7850000000000001</v>
      </c>
      <c r="O272" s="9">
        <v>0.36249999999999999</v>
      </c>
      <c r="P272" s="9">
        <v>1.1798</v>
      </c>
      <c r="Q272" s="9">
        <v>29.530799999999999</v>
      </c>
      <c r="R272" s="9"/>
      <c r="S272" s="11"/>
    </row>
    <row r="273" spans="1:19" ht="15.75">
      <c r="A273" s="14">
        <v>50161</v>
      </c>
      <c r="B273" s="8">
        <f>CHOOSE( CONTROL!$C$29, 6.5013, 6.497) * CHOOSE(CONTROL!$C$12, $D$11, 100%, $F$11)</f>
        <v>6.5012999999999996</v>
      </c>
      <c r="C273" s="8">
        <f>CHOOSE( CONTROL!$C$29, 6.5117, 6.5074) * CHOOSE(CONTROL!$C$12, $D$11, 100%, $F$11)</f>
        <v>6.5117000000000003</v>
      </c>
      <c r="D273" s="8">
        <f>CHOOSE( CONTROL!$C$29, 6.4896, 6.4854) * CHOOSE( CONTROL!$C$12, $D$11, 100%, $F$11)</f>
        <v>6.4896000000000003</v>
      </c>
      <c r="E273" s="12">
        <f>CHOOSE( CONTROL!$C$29, 6.496, 6.4918) * CHOOSE( CONTROL!$C$12, $D$11, 100%, $F$11)</f>
        <v>6.4960000000000004</v>
      </c>
      <c r="F273" s="4">
        <f>CHOOSE( CONTROL!$C$29, 7.4762, 7.4719) * CHOOSE(CONTROL!$C$12, $D$11, 100%, $F$11)</f>
        <v>7.4762000000000004</v>
      </c>
      <c r="G273" s="8">
        <f>CHOOSE( CONTROL!$C$29, 6.3132, 6.3091) * CHOOSE( CONTROL!$C$12, $D$11, 100%, $F$11)</f>
        <v>6.3132000000000001</v>
      </c>
      <c r="H273" s="4">
        <f>CHOOSE( CONTROL!$C$29, 7.2113, 7.2072) * CHOOSE(CONTROL!$C$12, $D$11, 100%, $F$11)</f>
        <v>7.2112999999999996</v>
      </c>
      <c r="I273" s="8">
        <f>CHOOSE( CONTROL!$C$29, 6.2546, 6.2505) * CHOOSE(CONTROL!$C$12, $D$11, 100%, $F$11)</f>
        <v>6.2545999999999999</v>
      </c>
      <c r="J273" s="4">
        <f>CHOOSE( CONTROL!$C$29, 6.2247, 6.2207) * CHOOSE(CONTROL!$C$12, $D$11, 100%, $F$11)</f>
        <v>6.2247000000000003</v>
      </c>
      <c r="K273" s="4"/>
      <c r="L273" s="9">
        <v>29.520499999999998</v>
      </c>
      <c r="M273" s="9">
        <v>12.063700000000001</v>
      </c>
      <c r="N273" s="9">
        <v>4.9444999999999997</v>
      </c>
      <c r="O273" s="9">
        <v>0.37459999999999999</v>
      </c>
      <c r="P273" s="9">
        <v>1.2192000000000001</v>
      </c>
      <c r="Q273" s="9">
        <v>30.5152</v>
      </c>
      <c r="R273" s="9"/>
      <c r="S273" s="11"/>
    </row>
    <row r="274" spans="1:19" ht="15.75">
      <c r="A274" s="14">
        <v>50192</v>
      </c>
      <c r="B274" s="8">
        <f>CHOOSE( CONTROL!$C$29, 6.3969, 6.3926) * CHOOSE(CONTROL!$C$12, $D$11, 100%, $F$11)</f>
        <v>6.3968999999999996</v>
      </c>
      <c r="C274" s="8">
        <f>CHOOSE( CONTROL!$C$29, 6.4073, 6.4031) * CHOOSE(CONTROL!$C$12, $D$11, 100%, $F$11)</f>
        <v>6.4073000000000002</v>
      </c>
      <c r="D274" s="8">
        <f>CHOOSE( CONTROL!$C$29, 6.3796, 6.3754) * CHOOSE( CONTROL!$C$12, $D$11, 100%, $F$11)</f>
        <v>6.3795999999999999</v>
      </c>
      <c r="E274" s="12">
        <f>CHOOSE( CONTROL!$C$29, 6.3881, 6.3838) * CHOOSE( CONTROL!$C$12, $D$11, 100%, $F$11)</f>
        <v>6.3880999999999997</v>
      </c>
      <c r="F274" s="4">
        <f>CHOOSE( CONTROL!$C$29, 7.3613, 7.3571) * CHOOSE(CONTROL!$C$12, $D$11, 100%, $F$11)</f>
        <v>7.3613</v>
      </c>
      <c r="G274" s="8">
        <f>CHOOSE( CONTROL!$C$29, 6.2102, 6.2061) * CHOOSE( CONTROL!$C$12, $D$11, 100%, $F$11)</f>
        <v>6.2102000000000004</v>
      </c>
      <c r="H274" s="4">
        <f>CHOOSE( CONTROL!$C$29, 7.0994, 7.0952) * CHOOSE(CONTROL!$C$12, $D$11, 100%, $F$11)</f>
        <v>7.0994000000000002</v>
      </c>
      <c r="I274" s="8">
        <f>CHOOSE( CONTROL!$C$29, 6.1567, 6.1526) * CHOOSE(CONTROL!$C$12, $D$11, 100%, $F$11)</f>
        <v>6.1566999999999998</v>
      </c>
      <c r="J274" s="4">
        <f>CHOOSE( CONTROL!$C$29, 6.1247, 6.1207) * CHOOSE(CONTROL!$C$12, $D$11, 100%, $F$11)</f>
        <v>6.1246999999999998</v>
      </c>
      <c r="K274" s="4"/>
      <c r="L274" s="9">
        <v>28.568200000000001</v>
      </c>
      <c r="M274" s="9">
        <v>11.6745</v>
      </c>
      <c r="N274" s="9">
        <v>4.7850000000000001</v>
      </c>
      <c r="O274" s="9">
        <v>0.36249999999999999</v>
      </c>
      <c r="P274" s="9">
        <v>1.1798</v>
      </c>
      <c r="Q274" s="9">
        <v>29.530799999999999</v>
      </c>
      <c r="R274" s="9"/>
      <c r="S274" s="11"/>
    </row>
    <row r="275" spans="1:19" ht="15.75">
      <c r="A275" s="14">
        <v>50222</v>
      </c>
      <c r="B275" s="8">
        <f>CHOOSE( CONTROL!$C$29, 6.6717, 6.6675) * CHOOSE(CONTROL!$C$12, $D$11, 100%, $F$11)</f>
        <v>6.6717000000000004</v>
      </c>
      <c r="C275" s="8">
        <f>CHOOSE( CONTROL!$C$29, 6.6822, 6.6779) * CHOOSE(CONTROL!$C$12, $D$11, 100%, $F$11)</f>
        <v>6.6821999999999999</v>
      </c>
      <c r="D275" s="8">
        <f>CHOOSE( CONTROL!$C$29, 6.6883, 6.6841) * CHOOSE( CONTROL!$C$12, $D$11, 100%, $F$11)</f>
        <v>6.6882999999999999</v>
      </c>
      <c r="E275" s="12">
        <f>CHOOSE( CONTROL!$C$29, 6.6845, 6.6803) * CHOOSE( CONTROL!$C$12, $D$11, 100%, $F$11)</f>
        <v>6.6844999999999999</v>
      </c>
      <c r="F275" s="4">
        <f>CHOOSE( CONTROL!$C$29, 7.6816, 7.6774) * CHOOSE(CONTROL!$C$12, $D$11, 100%, $F$11)</f>
        <v>7.6816000000000004</v>
      </c>
      <c r="G275" s="8">
        <f>CHOOSE( CONTROL!$C$29, 6.5042, 6.5) * CHOOSE( CONTROL!$C$12, $D$11, 100%, $F$11)</f>
        <v>6.5042</v>
      </c>
      <c r="H275" s="4">
        <f>CHOOSE( CONTROL!$C$29, 7.4116, 7.4074) * CHOOSE(CONTROL!$C$12, $D$11, 100%, $F$11)</f>
        <v>7.4116</v>
      </c>
      <c r="I275" s="8">
        <f>CHOOSE( CONTROL!$C$29, 6.4754, 6.4714) * CHOOSE(CONTROL!$C$12, $D$11, 100%, $F$11)</f>
        <v>6.4753999999999996</v>
      </c>
      <c r="J275" s="4">
        <f>CHOOSE( CONTROL!$C$29, 6.3881, 6.384) * CHOOSE(CONTROL!$C$12, $D$11, 100%, $F$11)</f>
        <v>6.3880999999999997</v>
      </c>
      <c r="K275" s="4"/>
      <c r="L275" s="9">
        <v>29.520499999999998</v>
      </c>
      <c r="M275" s="9">
        <v>12.063700000000001</v>
      </c>
      <c r="N275" s="9">
        <v>4.9444999999999997</v>
      </c>
      <c r="O275" s="9">
        <v>0.37459999999999999</v>
      </c>
      <c r="P275" s="9">
        <v>1.2192000000000001</v>
      </c>
      <c r="Q275" s="9">
        <v>30.5152</v>
      </c>
      <c r="R275" s="9"/>
      <c r="S275" s="11"/>
    </row>
    <row r="276" spans="1:19" ht="15.75">
      <c r="A276" s="14">
        <v>50253</v>
      </c>
      <c r="B276" s="8">
        <f>CHOOSE( CONTROL!$C$29, 6.1574, 6.1532) * CHOOSE(CONTROL!$C$12, $D$11, 100%, $F$11)</f>
        <v>6.1574</v>
      </c>
      <c r="C276" s="8">
        <f>CHOOSE( CONTROL!$C$29, 6.1679, 6.1636) * CHOOSE(CONTROL!$C$12, $D$11, 100%, $F$11)</f>
        <v>6.1679000000000004</v>
      </c>
      <c r="D276" s="8">
        <f>CHOOSE( CONTROL!$C$29, 6.1905, 6.1862) * CHOOSE( CONTROL!$C$12, $D$11, 100%, $F$11)</f>
        <v>6.1905000000000001</v>
      </c>
      <c r="E276" s="12">
        <f>CHOOSE( CONTROL!$C$29, 6.1807, 6.1764) * CHOOSE( CONTROL!$C$12, $D$11, 100%, $F$11)</f>
        <v>6.1806999999999999</v>
      </c>
      <c r="F276" s="4">
        <f>CHOOSE( CONTROL!$C$29, 7.196, 7.1918) * CHOOSE(CONTROL!$C$12, $D$11, 100%, $F$11)</f>
        <v>7.1959999999999997</v>
      </c>
      <c r="G276" s="8">
        <f>CHOOSE( CONTROL!$C$29, 6.0084, 6.0043) * CHOOSE( CONTROL!$C$12, $D$11, 100%, $F$11)</f>
        <v>6.0084</v>
      </c>
      <c r="H276" s="4">
        <f>CHOOSE( CONTROL!$C$29, 6.9382, 6.9341) * CHOOSE(CONTROL!$C$12, $D$11, 100%, $F$11)</f>
        <v>6.9382000000000001</v>
      </c>
      <c r="I276" s="8">
        <f>CHOOSE( CONTROL!$C$29, 5.9739, 5.9698) * CHOOSE(CONTROL!$C$12, $D$11, 100%, $F$11)</f>
        <v>5.9739000000000004</v>
      </c>
      <c r="J276" s="4">
        <f>CHOOSE( CONTROL!$C$29, 5.8953, 5.8912) * CHOOSE(CONTROL!$C$12, $D$11, 100%, $F$11)</f>
        <v>5.8952999999999998</v>
      </c>
      <c r="K276" s="4"/>
      <c r="L276" s="9">
        <v>29.520499999999998</v>
      </c>
      <c r="M276" s="9">
        <v>12.063700000000001</v>
      </c>
      <c r="N276" s="9">
        <v>4.9444999999999997</v>
      </c>
      <c r="O276" s="9">
        <v>0.37459999999999999</v>
      </c>
      <c r="P276" s="9">
        <v>1.2192000000000001</v>
      </c>
      <c r="Q276" s="9">
        <v>30.5152</v>
      </c>
      <c r="R276" s="9"/>
      <c r="S276" s="11"/>
    </row>
    <row r="277" spans="1:19" ht="15.75">
      <c r="A277" s="14">
        <v>50284</v>
      </c>
      <c r="B277" s="8">
        <f>CHOOSE( CONTROL!$C$29, 6.0287, 6.0244) * CHOOSE(CONTROL!$C$12, $D$11, 100%, $F$11)</f>
        <v>6.0286999999999997</v>
      </c>
      <c r="C277" s="8">
        <f>CHOOSE( CONTROL!$C$29, 6.0391, 6.0348) * CHOOSE(CONTROL!$C$12, $D$11, 100%, $F$11)</f>
        <v>6.0391000000000004</v>
      </c>
      <c r="D277" s="8">
        <f>CHOOSE( CONTROL!$C$29, 6.0617, 6.0574) * CHOOSE( CONTROL!$C$12, $D$11, 100%, $F$11)</f>
        <v>6.0617000000000001</v>
      </c>
      <c r="E277" s="12">
        <f>CHOOSE( CONTROL!$C$29, 6.0519, 6.0476) * CHOOSE( CONTROL!$C$12, $D$11, 100%, $F$11)</f>
        <v>6.0518999999999998</v>
      </c>
      <c r="F277" s="4">
        <f>CHOOSE( CONTROL!$C$29, 7.0672, 7.063) * CHOOSE(CONTROL!$C$12, $D$11, 100%, $F$11)</f>
        <v>7.0671999999999997</v>
      </c>
      <c r="G277" s="8">
        <f>CHOOSE( CONTROL!$C$29, 5.8826, 5.8785) * CHOOSE( CONTROL!$C$12, $D$11, 100%, $F$11)</f>
        <v>5.8826000000000001</v>
      </c>
      <c r="H277" s="4">
        <f>CHOOSE( CONTROL!$C$29, 6.8127, 6.8085) * CHOOSE(CONTROL!$C$12, $D$11, 100%, $F$11)</f>
        <v>6.8127000000000004</v>
      </c>
      <c r="I277" s="8">
        <f>CHOOSE( CONTROL!$C$29, 5.8487, 5.8446) * CHOOSE(CONTROL!$C$12, $D$11, 100%, $F$11)</f>
        <v>5.8487</v>
      </c>
      <c r="J277" s="4">
        <f>CHOOSE( CONTROL!$C$29, 5.7719, 5.7678) * CHOOSE(CONTROL!$C$12, $D$11, 100%, $F$11)</f>
        <v>5.7718999999999996</v>
      </c>
      <c r="K277" s="4"/>
      <c r="L277" s="9">
        <v>28.568200000000001</v>
      </c>
      <c r="M277" s="9">
        <v>11.6745</v>
      </c>
      <c r="N277" s="9">
        <v>4.7850000000000001</v>
      </c>
      <c r="O277" s="9">
        <v>0.36249999999999999</v>
      </c>
      <c r="P277" s="9">
        <v>1.1798</v>
      </c>
      <c r="Q277" s="9">
        <v>29.530799999999999</v>
      </c>
      <c r="R277" s="9"/>
      <c r="S277" s="11"/>
    </row>
    <row r="278" spans="1:19" ht="15.75">
      <c r="A278" s="14">
        <v>50314</v>
      </c>
      <c r="B278" s="8">
        <f>6.2918 * CHOOSE(CONTROL!$C$12, $D$11, 100%, $F$11)</f>
        <v>6.2918000000000003</v>
      </c>
      <c r="C278" s="8">
        <f>6.3023 * CHOOSE(CONTROL!$C$12, $D$11, 100%, $F$11)</f>
        <v>6.3022999999999998</v>
      </c>
      <c r="D278" s="8">
        <f>6.3067 * CHOOSE( CONTROL!$C$12, $D$11, 100%, $F$11)</f>
        <v>6.3067000000000002</v>
      </c>
      <c r="E278" s="12">
        <f>6.3041 * CHOOSE( CONTROL!$C$12, $D$11, 100%, $F$11)</f>
        <v>6.3041</v>
      </c>
      <c r="F278" s="4">
        <f>7.2991 * CHOOSE(CONTROL!$C$12, $D$11, 100%, $F$11)</f>
        <v>7.2991000000000001</v>
      </c>
      <c r="G278" s="8">
        <f>6.1294 * CHOOSE( CONTROL!$C$12, $D$11, 100%, $F$11)</f>
        <v>6.1294000000000004</v>
      </c>
      <c r="H278" s="4">
        <f>7.0387 * CHOOSE(CONTROL!$C$12, $D$11, 100%, $F$11)</f>
        <v>7.0387000000000004</v>
      </c>
      <c r="I278" s="8">
        <f>6.0976 * CHOOSE(CONTROL!$C$12, $D$11, 100%, $F$11)</f>
        <v>6.0975999999999999</v>
      </c>
      <c r="J278" s="4">
        <f>6.0241 * CHOOSE(CONTROL!$C$12, $D$11, 100%, $F$11)</f>
        <v>6.0240999999999998</v>
      </c>
      <c r="K278" s="4"/>
      <c r="L278" s="9">
        <v>28.921800000000001</v>
      </c>
      <c r="M278" s="9">
        <v>12.063700000000001</v>
      </c>
      <c r="N278" s="9">
        <v>4.9444999999999997</v>
      </c>
      <c r="O278" s="9">
        <v>0.37459999999999999</v>
      </c>
      <c r="P278" s="9">
        <v>1.2192000000000001</v>
      </c>
      <c r="Q278" s="9">
        <v>30.5152</v>
      </c>
      <c r="R278" s="9"/>
      <c r="S278" s="11"/>
    </row>
    <row r="279" spans="1:19" ht="15.75">
      <c r="A279" s="14">
        <v>50345</v>
      </c>
      <c r="B279" s="8">
        <f>6.7854 * CHOOSE(CONTROL!$C$12, $D$11, 100%, $F$11)</f>
        <v>6.7854000000000001</v>
      </c>
      <c r="C279" s="8">
        <f>6.7958 * CHOOSE(CONTROL!$C$12, $D$11, 100%, $F$11)</f>
        <v>6.7957999999999998</v>
      </c>
      <c r="D279" s="8">
        <f>6.7782 * CHOOSE( CONTROL!$C$12, $D$11, 100%, $F$11)</f>
        <v>6.7782</v>
      </c>
      <c r="E279" s="12">
        <f>6.7835 * CHOOSE( CONTROL!$C$12, $D$11, 100%, $F$11)</f>
        <v>6.7835000000000001</v>
      </c>
      <c r="F279" s="4">
        <f>7.7796 * CHOOSE(CONTROL!$C$12, $D$11, 100%, $F$11)</f>
        <v>7.7796000000000003</v>
      </c>
      <c r="G279" s="8">
        <f>6.623 * CHOOSE( CONTROL!$C$12, $D$11, 100%, $F$11)</f>
        <v>6.6230000000000002</v>
      </c>
      <c r="H279" s="4">
        <f>7.5071 * CHOOSE(CONTROL!$C$12, $D$11, 100%, $F$11)</f>
        <v>7.5071000000000003</v>
      </c>
      <c r="I279" s="8">
        <f>6.5943 * CHOOSE(CONTROL!$C$12, $D$11, 100%, $F$11)</f>
        <v>6.5942999999999996</v>
      </c>
      <c r="J279" s="4">
        <f>6.497 * CHOOSE(CONTROL!$C$12, $D$11, 100%, $F$11)</f>
        <v>6.4969999999999999</v>
      </c>
      <c r="K279" s="4"/>
      <c r="L279" s="9">
        <v>26.515499999999999</v>
      </c>
      <c r="M279" s="9">
        <v>11.6745</v>
      </c>
      <c r="N279" s="9">
        <v>4.7850000000000001</v>
      </c>
      <c r="O279" s="9">
        <v>0.36249999999999999</v>
      </c>
      <c r="P279" s="9">
        <v>1.2522</v>
      </c>
      <c r="Q279" s="9">
        <v>29.530799999999999</v>
      </c>
      <c r="R279" s="9"/>
      <c r="S279" s="11"/>
    </row>
    <row r="280" spans="1:19" ht="15.75">
      <c r="A280" s="14">
        <v>50375</v>
      </c>
      <c r="B280" s="8">
        <f>6.7731 * CHOOSE(CONTROL!$C$12, $D$11, 100%, $F$11)</f>
        <v>6.7731000000000003</v>
      </c>
      <c r="C280" s="8">
        <f>6.7835 * CHOOSE(CONTROL!$C$12, $D$11, 100%, $F$11)</f>
        <v>6.7835000000000001</v>
      </c>
      <c r="D280" s="8">
        <f>6.7679 * CHOOSE( CONTROL!$C$12, $D$11, 100%, $F$11)</f>
        <v>6.7679</v>
      </c>
      <c r="E280" s="12">
        <f>6.7725 * CHOOSE( CONTROL!$C$12, $D$11, 100%, $F$11)</f>
        <v>6.7725</v>
      </c>
      <c r="F280" s="4">
        <f>7.7673 * CHOOSE(CONTROL!$C$12, $D$11, 100%, $F$11)</f>
        <v>7.7672999999999996</v>
      </c>
      <c r="G280" s="8">
        <f>6.6125 * CHOOSE( CONTROL!$C$12, $D$11, 100%, $F$11)</f>
        <v>6.6124999999999998</v>
      </c>
      <c r="H280" s="4">
        <f>7.4951 * CHOOSE(CONTROL!$C$12, $D$11, 100%, $F$11)</f>
        <v>7.4950999999999999</v>
      </c>
      <c r="I280" s="8">
        <f>6.5897 * CHOOSE(CONTROL!$C$12, $D$11, 100%, $F$11)</f>
        <v>6.5896999999999997</v>
      </c>
      <c r="J280" s="4">
        <f>6.4852 * CHOOSE(CONTROL!$C$12, $D$11, 100%, $F$11)</f>
        <v>6.4851999999999999</v>
      </c>
      <c r="K280" s="4"/>
      <c r="L280" s="9">
        <v>27.3993</v>
      </c>
      <c r="M280" s="9">
        <v>12.063700000000001</v>
      </c>
      <c r="N280" s="9">
        <v>4.9444999999999997</v>
      </c>
      <c r="O280" s="9">
        <v>0.37459999999999999</v>
      </c>
      <c r="P280" s="9">
        <v>1.2939000000000001</v>
      </c>
      <c r="Q280" s="9">
        <v>30.5152</v>
      </c>
      <c r="R280" s="9"/>
      <c r="S280" s="11"/>
    </row>
    <row r="281" spans="1:19" ht="15.75">
      <c r="A281" s="13">
        <v>50436</v>
      </c>
      <c r="B281" s="8">
        <f>7.0317 * CHOOSE(CONTROL!$C$12, $D$11, 100%, $F$11)</f>
        <v>7.0316999999999998</v>
      </c>
      <c r="C281" s="8">
        <f>7.0422 * CHOOSE(CONTROL!$C$12, $D$11, 100%, $F$11)</f>
        <v>7.0422000000000002</v>
      </c>
      <c r="D281" s="8">
        <f>7.0398 * CHOOSE( CONTROL!$C$12, $D$11, 100%, $F$11)</f>
        <v>7.0397999999999996</v>
      </c>
      <c r="E281" s="12">
        <f>7.0396 * CHOOSE( CONTROL!$C$12, $D$11, 100%, $F$11)</f>
        <v>7.0396000000000001</v>
      </c>
      <c r="F281" s="4">
        <f>8.0546 * CHOOSE(CONTROL!$C$12, $D$11, 100%, $F$11)</f>
        <v>8.0546000000000006</v>
      </c>
      <c r="G281" s="8">
        <f>6.8818 * CHOOSE( CONTROL!$C$12, $D$11, 100%, $F$11)</f>
        <v>6.8818000000000001</v>
      </c>
      <c r="H281" s="4">
        <f>7.7752 * CHOOSE(CONTROL!$C$12, $D$11, 100%, $F$11)</f>
        <v>7.7751999999999999</v>
      </c>
      <c r="I281" s="8">
        <f>6.845 * CHOOSE(CONTROL!$C$12, $D$11, 100%, $F$11)</f>
        <v>6.8449999999999998</v>
      </c>
      <c r="J281" s="4">
        <f>6.7331 * CHOOSE(CONTROL!$C$12, $D$11, 100%, $F$11)</f>
        <v>6.7331000000000003</v>
      </c>
      <c r="K281" s="4"/>
      <c r="L281" s="9">
        <v>27.3993</v>
      </c>
      <c r="M281" s="9">
        <v>12.063700000000001</v>
      </c>
      <c r="N281" s="9">
        <v>4.9444999999999997</v>
      </c>
      <c r="O281" s="9">
        <v>0.37459999999999999</v>
      </c>
      <c r="P281" s="9">
        <v>1.2939000000000001</v>
      </c>
      <c r="Q281" s="9">
        <v>30.451899999999998</v>
      </c>
      <c r="R281" s="9"/>
      <c r="S281" s="11"/>
    </row>
    <row r="282" spans="1:19" ht="15.75">
      <c r="A282" s="13">
        <v>50464</v>
      </c>
      <c r="B282" s="8">
        <f>6.5775 * CHOOSE(CONTROL!$C$12, $D$11, 100%, $F$11)</f>
        <v>6.5774999999999997</v>
      </c>
      <c r="C282" s="8">
        <f>6.5879 * CHOOSE(CONTROL!$C$12, $D$11, 100%, $F$11)</f>
        <v>6.5879000000000003</v>
      </c>
      <c r="D282" s="8">
        <f>6.5879 * CHOOSE( CONTROL!$C$12, $D$11, 100%, $F$11)</f>
        <v>6.5879000000000003</v>
      </c>
      <c r="E282" s="12">
        <f>6.5868 * CHOOSE( CONTROL!$C$12, $D$11, 100%, $F$11)</f>
        <v>6.5868000000000002</v>
      </c>
      <c r="F282" s="4">
        <f>7.5925 * CHOOSE(CONTROL!$C$12, $D$11, 100%, $F$11)</f>
        <v>7.5925000000000002</v>
      </c>
      <c r="G282" s="8">
        <f>6.4389 * CHOOSE( CONTROL!$C$12, $D$11, 100%, $F$11)</f>
        <v>6.4389000000000003</v>
      </c>
      <c r="H282" s="4">
        <f>7.3248 * CHOOSE(CONTROL!$C$12, $D$11, 100%, $F$11)</f>
        <v>7.3247999999999998</v>
      </c>
      <c r="I282" s="8">
        <f>6.3986 * CHOOSE(CONTROL!$C$12, $D$11, 100%, $F$11)</f>
        <v>6.3986000000000001</v>
      </c>
      <c r="J282" s="4">
        <f>6.2978 * CHOOSE(CONTROL!$C$12, $D$11, 100%, $F$11)</f>
        <v>6.2977999999999996</v>
      </c>
      <c r="K282" s="4"/>
      <c r="L282" s="9">
        <v>24.747800000000002</v>
      </c>
      <c r="M282" s="9">
        <v>10.8962</v>
      </c>
      <c r="N282" s="9">
        <v>4.4660000000000002</v>
      </c>
      <c r="O282" s="9">
        <v>0.33829999999999999</v>
      </c>
      <c r="P282" s="9">
        <v>1.1687000000000001</v>
      </c>
      <c r="Q282" s="9">
        <v>27.504999999999999</v>
      </c>
      <c r="R282" s="9"/>
      <c r="S282" s="11"/>
    </row>
    <row r="283" spans="1:19" ht="15.75">
      <c r="A283" s="13">
        <v>50495</v>
      </c>
      <c r="B283" s="8">
        <f>6.4376 * CHOOSE(CONTROL!$C$12, $D$11, 100%, $F$11)</f>
        <v>6.4375999999999998</v>
      </c>
      <c r="C283" s="8">
        <f>6.448 * CHOOSE(CONTROL!$C$12, $D$11, 100%, $F$11)</f>
        <v>6.4480000000000004</v>
      </c>
      <c r="D283" s="8">
        <f>6.4278 * CHOOSE( CONTROL!$C$12, $D$11, 100%, $F$11)</f>
        <v>6.4278000000000004</v>
      </c>
      <c r="E283" s="12">
        <f>6.4341 * CHOOSE( CONTROL!$C$12, $D$11, 100%, $F$11)</f>
        <v>6.4340999999999999</v>
      </c>
      <c r="F283" s="4">
        <f>7.4365 * CHOOSE(CONTROL!$C$12, $D$11, 100%, $F$11)</f>
        <v>7.4364999999999997</v>
      </c>
      <c r="G283" s="8">
        <f>6.282 * CHOOSE( CONTROL!$C$12, $D$11, 100%, $F$11)</f>
        <v>6.282</v>
      </c>
      <c r="H283" s="4">
        <f>7.1726 * CHOOSE(CONTROL!$C$12, $D$11, 100%, $F$11)</f>
        <v>7.1726000000000001</v>
      </c>
      <c r="I283" s="8">
        <f>6.2249 * CHOOSE(CONTROL!$C$12, $D$11, 100%, $F$11)</f>
        <v>6.2248999999999999</v>
      </c>
      <c r="J283" s="4">
        <f>6.1637 * CHOOSE(CONTROL!$C$12, $D$11, 100%, $F$11)</f>
        <v>6.1637000000000004</v>
      </c>
      <c r="K283" s="4"/>
      <c r="L283" s="9">
        <v>27.3993</v>
      </c>
      <c r="M283" s="9">
        <v>12.063700000000001</v>
      </c>
      <c r="N283" s="9">
        <v>4.9444999999999997</v>
      </c>
      <c r="O283" s="9">
        <v>0.37459999999999999</v>
      </c>
      <c r="P283" s="9">
        <v>1.2939000000000001</v>
      </c>
      <c r="Q283" s="9">
        <v>30.451899999999998</v>
      </c>
      <c r="R283" s="9"/>
      <c r="S283" s="11"/>
    </row>
    <row r="284" spans="1:19" ht="15.75">
      <c r="A284" s="13">
        <v>50525</v>
      </c>
      <c r="B284" s="8">
        <f>6.5353 * CHOOSE(CONTROL!$C$12, $D$11, 100%, $F$11)</f>
        <v>6.5353000000000003</v>
      </c>
      <c r="C284" s="8">
        <f>6.5458 * CHOOSE(CONTROL!$C$12, $D$11, 100%, $F$11)</f>
        <v>6.5457999999999998</v>
      </c>
      <c r="D284" s="8">
        <f>6.549 * CHOOSE( CONTROL!$C$12, $D$11, 100%, $F$11)</f>
        <v>6.5490000000000004</v>
      </c>
      <c r="E284" s="12">
        <f>6.5467 * CHOOSE( CONTROL!$C$12, $D$11, 100%, $F$11)</f>
        <v>6.5467000000000004</v>
      </c>
      <c r="F284" s="4">
        <f>7.5426 * CHOOSE(CONTROL!$C$12, $D$11, 100%, $F$11)</f>
        <v>7.5426000000000002</v>
      </c>
      <c r="G284" s="8">
        <f>6.3652 * CHOOSE( CONTROL!$C$12, $D$11, 100%, $F$11)</f>
        <v>6.3651999999999997</v>
      </c>
      <c r="H284" s="4">
        <f>7.276 * CHOOSE(CONTROL!$C$12, $D$11, 100%, $F$11)</f>
        <v>7.2759999999999998</v>
      </c>
      <c r="I284" s="8">
        <f>6.3088 * CHOOSE(CONTROL!$C$12, $D$11, 100%, $F$11)</f>
        <v>6.3087999999999997</v>
      </c>
      <c r="J284" s="4">
        <f>6.2574 * CHOOSE(CONTROL!$C$12, $D$11, 100%, $F$11)</f>
        <v>6.2573999999999996</v>
      </c>
      <c r="K284" s="4"/>
      <c r="L284" s="9">
        <v>27.988800000000001</v>
      </c>
      <c r="M284" s="9">
        <v>11.6745</v>
      </c>
      <c r="N284" s="9">
        <v>4.7850000000000001</v>
      </c>
      <c r="O284" s="9">
        <v>0.36249999999999999</v>
      </c>
      <c r="P284" s="9">
        <v>1.1798</v>
      </c>
      <c r="Q284" s="9">
        <v>29.4696</v>
      </c>
      <c r="R284" s="9"/>
      <c r="S284" s="11"/>
    </row>
    <row r="285" spans="1:19" ht="15.75">
      <c r="A285" s="13">
        <v>50556</v>
      </c>
      <c r="B285" s="8">
        <f>CHOOSE( CONTROL!$C$29, 6.7136, 6.7093) * CHOOSE(CONTROL!$C$12, $D$11, 100%, $F$11)</f>
        <v>6.7135999999999996</v>
      </c>
      <c r="C285" s="8">
        <f>CHOOSE( CONTROL!$C$29, 6.724, 6.7198) * CHOOSE(CONTROL!$C$12, $D$11, 100%, $F$11)</f>
        <v>6.7240000000000002</v>
      </c>
      <c r="D285" s="8">
        <f>CHOOSE( CONTROL!$C$29, 6.7019, 6.6977) * CHOOSE( CONTROL!$C$12, $D$11, 100%, $F$11)</f>
        <v>6.7019000000000002</v>
      </c>
      <c r="E285" s="12">
        <f>CHOOSE( CONTROL!$C$29, 6.7083, 6.7041) * CHOOSE( CONTROL!$C$12, $D$11, 100%, $F$11)</f>
        <v>6.7083000000000004</v>
      </c>
      <c r="F285" s="4">
        <f>CHOOSE( CONTROL!$C$29, 7.6885, 7.6842) * CHOOSE(CONTROL!$C$12, $D$11, 100%, $F$11)</f>
        <v>7.6885000000000003</v>
      </c>
      <c r="G285" s="8">
        <f>CHOOSE( CONTROL!$C$29, 6.5202, 6.516) * CHOOSE( CONTROL!$C$12, $D$11, 100%, $F$11)</f>
        <v>6.5202</v>
      </c>
      <c r="H285" s="4">
        <f>CHOOSE( CONTROL!$C$29, 7.4183, 7.4141) * CHOOSE(CONTROL!$C$12, $D$11, 100%, $F$11)</f>
        <v>7.4183000000000003</v>
      </c>
      <c r="I285" s="8">
        <f>CHOOSE( CONTROL!$C$29, 6.4581, 6.454) * CHOOSE(CONTROL!$C$12, $D$11, 100%, $F$11)</f>
        <v>6.4581</v>
      </c>
      <c r="J285" s="4">
        <f>CHOOSE( CONTROL!$C$29, 6.4282, 6.4241) * CHOOSE(CONTROL!$C$12, $D$11, 100%, $F$11)</f>
        <v>6.4282000000000004</v>
      </c>
      <c r="K285" s="4"/>
      <c r="L285" s="9">
        <v>29.520499999999998</v>
      </c>
      <c r="M285" s="9">
        <v>12.063700000000001</v>
      </c>
      <c r="N285" s="9">
        <v>4.9444999999999997</v>
      </c>
      <c r="O285" s="9">
        <v>0.37459999999999999</v>
      </c>
      <c r="P285" s="9">
        <v>1.2192000000000001</v>
      </c>
      <c r="Q285" s="9">
        <v>30.451899999999998</v>
      </c>
      <c r="R285" s="9"/>
      <c r="S285" s="11"/>
    </row>
    <row r="286" spans="1:19" ht="15.75">
      <c r="A286" s="13">
        <v>50586</v>
      </c>
      <c r="B286" s="8">
        <f>CHOOSE( CONTROL!$C$29, 6.6058, 6.6015) * CHOOSE(CONTROL!$C$12, $D$11, 100%, $F$11)</f>
        <v>6.6058000000000003</v>
      </c>
      <c r="C286" s="8">
        <f>CHOOSE( CONTROL!$C$29, 6.6162, 6.612) * CHOOSE(CONTROL!$C$12, $D$11, 100%, $F$11)</f>
        <v>6.6162000000000001</v>
      </c>
      <c r="D286" s="8">
        <f>CHOOSE( CONTROL!$C$29, 6.5885, 6.5843) * CHOOSE( CONTROL!$C$12, $D$11, 100%, $F$11)</f>
        <v>6.5884999999999998</v>
      </c>
      <c r="E286" s="12">
        <f>CHOOSE( CONTROL!$C$29, 6.597, 6.5927) * CHOOSE( CONTROL!$C$12, $D$11, 100%, $F$11)</f>
        <v>6.5970000000000004</v>
      </c>
      <c r="F286" s="4">
        <f>CHOOSE( CONTROL!$C$29, 7.5702, 7.566) * CHOOSE(CONTROL!$C$12, $D$11, 100%, $F$11)</f>
        <v>7.5701999999999998</v>
      </c>
      <c r="G286" s="8">
        <f>CHOOSE( CONTROL!$C$29, 6.4138, 6.4097) * CHOOSE( CONTROL!$C$12, $D$11, 100%, $F$11)</f>
        <v>6.4138000000000002</v>
      </c>
      <c r="H286" s="4">
        <f>CHOOSE( CONTROL!$C$29, 7.303, 7.2989) * CHOOSE(CONTROL!$C$12, $D$11, 100%, $F$11)</f>
        <v>7.3029999999999999</v>
      </c>
      <c r="I286" s="8">
        <f>CHOOSE( CONTROL!$C$29, 6.3569, 6.3529) * CHOOSE(CONTROL!$C$12, $D$11, 100%, $F$11)</f>
        <v>6.3569000000000004</v>
      </c>
      <c r="J286" s="4">
        <f>CHOOSE( CONTROL!$C$29, 6.3249, 6.3208) * CHOOSE(CONTROL!$C$12, $D$11, 100%, $F$11)</f>
        <v>6.3249000000000004</v>
      </c>
      <c r="K286" s="4"/>
      <c r="L286" s="9">
        <v>28.568200000000001</v>
      </c>
      <c r="M286" s="9">
        <v>11.6745</v>
      </c>
      <c r="N286" s="9">
        <v>4.7850000000000001</v>
      </c>
      <c r="O286" s="9">
        <v>0.36249999999999999</v>
      </c>
      <c r="P286" s="9">
        <v>1.1798</v>
      </c>
      <c r="Q286" s="9">
        <v>29.4696</v>
      </c>
      <c r="R286" s="9"/>
      <c r="S286" s="11"/>
    </row>
    <row r="287" spans="1:19" ht="15.75">
      <c r="A287" s="13">
        <v>50617</v>
      </c>
      <c r="B287" s="8">
        <f>CHOOSE( CONTROL!$C$29, 6.8896, 6.8854) * CHOOSE(CONTROL!$C$12, $D$11, 100%, $F$11)</f>
        <v>6.8895999999999997</v>
      </c>
      <c r="C287" s="8">
        <f>CHOOSE( CONTROL!$C$29, 6.9001, 6.8958) * CHOOSE(CONTROL!$C$12, $D$11, 100%, $F$11)</f>
        <v>6.9001000000000001</v>
      </c>
      <c r="D287" s="8">
        <f>CHOOSE( CONTROL!$C$29, 6.9062, 6.9019) * CHOOSE( CONTROL!$C$12, $D$11, 100%, $F$11)</f>
        <v>6.9062000000000001</v>
      </c>
      <c r="E287" s="12">
        <f>CHOOSE( CONTROL!$C$29, 6.9024, 6.8981) * CHOOSE( CONTROL!$C$12, $D$11, 100%, $F$11)</f>
        <v>6.9024000000000001</v>
      </c>
      <c r="F287" s="4">
        <f>CHOOSE( CONTROL!$C$29, 7.8995, 7.8952) * CHOOSE(CONTROL!$C$12, $D$11, 100%, $F$11)</f>
        <v>7.8994999999999997</v>
      </c>
      <c r="G287" s="8">
        <f>CHOOSE( CONTROL!$C$29, 6.7166, 6.7124) * CHOOSE( CONTROL!$C$12, $D$11, 100%, $F$11)</f>
        <v>6.7165999999999997</v>
      </c>
      <c r="H287" s="4">
        <f>CHOOSE( CONTROL!$C$29, 7.624, 7.6198) * CHOOSE(CONTROL!$C$12, $D$11, 100%, $F$11)</f>
        <v>7.6239999999999997</v>
      </c>
      <c r="I287" s="8">
        <f>CHOOSE( CONTROL!$C$29, 6.6843, 6.6803) * CHOOSE(CONTROL!$C$12, $D$11, 100%, $F$11)</f>
        <v>6.6843000000000004</v>
      </c>
      <c r="J287" s="4">
        <f>CHOOSE( CONTROL!$C$29, 6.5969, 6.5928) * CHOOSE(CONTROL!$C$12, $D$11, 100%, $F$11)</f>
        <v>6.5968999999999998</v>
      </c>
      <c r="K287" s="4"/>
      <c r="L287" s="9">
        <v>29.520499999999998</v>
      </c>
      <c r="M287" s="9">
        <v>12.063700000000001</v>
      </c>
      <c r="N287" s="9">
        <v>4.9444999999999997</v>
      </c>
      <c r="O287" s="9">
        <v>0.37459999999999999</v>
      </c>
      <c r="P287" s="9">
        <v>1.2192000000000001</v>
      </c>
      <c r="Q287" s="9">
        <v>30.451899999999998</v>
      </c>
      <c r="R287" s="9"/>
      <c r="S287" s="11"/>
    </row>
    <row r="288" spans="1:19" ht="15.75">
      <c r="A288" s="13">
        <v>50648</v>
      </c>
      <c r="B288" s="8">
        <f>CHOOSE( CONTROL!$C$29, 6.3585, 6.3543) * CHOOSE(CONTROL!$C$12, $D$11, 100%, $F$11)</f>
        <v>6.3585000000000003</v>
      </c>
      <c r="C288" s="8">
        <f>CHOOSE( CONTROL!$C$29, 6.3689, 6.3647) * CHOOSE(CONTROL!$C$12, $D$11, 100%, $F$11)</f>
        <v>6.3689</v>
      </c>
      <c r="D288" s="8">
        <f>CHOOSE( CONTROL!$C$29, 6.3915, 6.3873) * CHOOSE( CONTROL!$C$12, $D$11, 100%, $F$11)</f>
        <v>6.3914999999999997</v>
      </c>
      <c r="E288" s="12">
        <f>CHOOSE( CONTROL!$C$29, 6.3817, 6.3775) * CHOOSE( CONTROL!$C$12, $D$11, 100%, $F$11)</f>
        <v>6.3817000000000004</v>
      </c>
      <c r="F288" s="4">
        <f>CHOOSE( CONTROL!$C$29, 7.3971, 7.3928) * CHOOSE(CONTROL!$C$12, $D$11, 100%, $F$11)</f>
        <v>7.3971</v>
      </c>
      <c r="G288" s="8">
        <f>CHOOSE( CONTROL!$C$29, 6.2044, 6.2003) * CHOOSE( CONTROL!$C$12, $D$11, 100%, $F$11)</f>
        <v>6.2043999999999997</v>
      </c>
      <c r="H288" s="4">
        <f>CHOOSE( CONTROL!$C$29, 7.1342, 7.1301) * CHOOSE(CONTROL!$C$12, $D$11, 100%, $F$11)</f>
        <v>7.1341999999999999</v>
      </c>
      <c r="I288" s="8">
        <f>CHOOSE( CONTROL!$C$29, 6.1666, 6.1626) * CHOOSE(CONTROL!$C$12, $D$11, 100%, $F$11)</f>
        <v>6.1665999999999999</v>
      </c>
      <c r="J288" s="4">
        <f>CHOOSE( CONTROL!$C$29, 6.088, 6.0839) * CHOOSE(CONTROL!$C$12, $D$11, 100%, $F$11)</f>
        <v>6.0880000000000001</v>
      </c>
      <c r="K288" s="4"/>
      <c r="L288" s="9">
        <v>29.520499999999998</v>
      </c>
      <c r="M288" s="9">
        <v>12.063700000000001</v>
      </c>
      <c r="N288" s="9">
        <v>4.9444999999999997</v>
      </c>
      <c r="O288" s="9">
        <v>0.37459999999999999</v>
      </c>
      <c r="P288" s="9">
        <v>1.2192000000000001</v>
      </c>
      <c r="Q288" s="9">
        <v>30.451899999999998</v>
      </c>
      <c r="R288" s="9"/>
      <c r="S288" s="11"/>
    </row>
    <row r="289" spans="1:19" ht="15.75">
      <c r="A289" s="13">
        <v>50678</v>
      </c>
      <c r="B289" s="8">
        <f>CHOOSE( CONTROL!$C$29, 6.2255, 6.2213) * CHOOSE(CONTROL!$C$12, $D$11, 100%, $F$11)</f>
        <v>6.2255000000000003</v>
      </c>
      <c r="C289" s="8">
        <f>CHOOSE( CONTROL!$C$29, 6.2359, 6.2317) * CHOOSE(CONTROL!$C$12, $D$11, 100%, $F$11)</f>
        <v>6.2359</v>
      </c>
      <c r="D289" s="8">
        <f>CHOOSE( CONTROL!$C$29, 6.2585, 6.2543) * CHOOSE( CONTROL!$C$12, $D$11, 100%, $F$11)</f>
        <v>6.2584999999999997</v>
      </c>
      <c r="E289" s="12">
        <f>CHOOSE( CONTROL!$C$29, 6.2487, 6.2445) * CHOOSE( CONTROL!$C$12, $D$11, 100%, $F$11)</f>
        <v>6.2487000000000004</v>
      </c>
      <c r="F289" s="4">
        <f>CHOOSE( CONTROL!$C$29, 7.2641, 7.2598) * CHOOSE(CONTROL!$C$12, $D$11, 100%, $F$11)</f>
        <v>7.2641</v>
      </c>
      <c r="G289" s="8">
        <f>CHOOSE( CONTROL!$C$29, 6.0745, 6.0704) * CHOOSE( CONTROL!$C$12, $D$11, 100%, $F$11)</f>
        <v>6.0744999999999996</v>
      </c>
      <c r="H289" s="4">
        <f>CHOOSE( CONTROL!$C$29, 7.0046, 7.0004) * CHOOSE(CONTROL!$C$12, $D$11, 100%, $F$11)</f>
        <v>7.0045999999999999</v>
      </c>
      <c r="I289" s="8">
        <f>CHOOSE( CONTROL!$C$29, 6.0374, 6.0333) * CHOOSE(CONTROL!$C$12, $D$11, 100%, $F$11)</f>
        <v>6.0373999999999999</v>
      </c>
      <c r="J289" s="4">
        <f>CHOOSE( CONTROL!$C$29, 5.9605, 5.9565) * CHOOSE(CONTROL!$C$12, $D$11, 100%, $F$11)</f>
        <v>5.9604999999999997</v>
      </c>
      <c r="K289" s="4"/>
      <c r="L289" s="9">
        <v>28.568200000000001</v>
      </c>
      <c r="M289" s="9">
        <v>11.6745</v>
      </c>
      <c r="N289" s="9">
        <v>4.7850000000000001</v>
      </c>
      <c r="O289" s="9">
        <v>0.36249999999999999</v>
      </c>
      <c r="P289" s="9">
        <v>1.1798</v>
      </c>
      <c r="Q289" s="9">
        <v>29.4696</v>
      </c>
      <c r="R289" s="9"/>
      <c r="S289" s="11"/>
    </row>
    <row r="290" spans="1:19" ht="15.75">
      <c r="A290" s="13">
        <v>50709</v>
      </c>
      <c r="B290" s="8">
        <f>6.4974 * CHOOSE(CONTROL!$C$12, $D$11, 100%, $F$11)</f>
        <v>6.4973999999999998</v>
      </c>
      <c r="C290" s="8">
        <f>6.5079 * CHOOSE(CONTROL!$C$12, $D$11, 100%, $F$11)</f>
        <v>6.5079000000000002</v>
      </c>
      <c r="D290" s="8">
        <f>6.5123 * CHOOSE( CONTROL!$C$12, $D$11, 100%, $F$11)</f>
        <v>6.5122999999999998</v>
      </c>
      <c r="E290" s="12">
        <f>6.5097 * CHOOSE( CONTROL!$C$12, $D$11, 100%, $F$11)</f>
        <v>6.5096999999999996</v>
      </c>
      <c r="F290" s="4">
        <f>7.5047 * CHOOSE(CONTROL!$C$12, $D$11, 100%, $F$11)</f>
        <v>7.5046999999999997</v>
      </c>
      <c r="G290" s="8">
        <f>6.3298 * CHOOSE( CONTROL!$C$12, $D$11, 100%, $F$11)</f>
        <v>6.3297999999999996</v>
      </c>
      <c r="H290" s="4">
        <f>7.2391 * CHOOSE(CONTROL!$C$12, $D$11, 100%, $F$11)</f>
        <v>7.2390999999999996</v>
      </c>
      <c r="I290" s="8">
        <f>6.2947 * CHOOSE(CONTROL!$C$12, $D$11, 100%, $F$11)</f>
        <v>6.2946999999999997</v>
      </c>
      <c r="J290" s="4">
        <f>6.2211 * CHOOSE(CONTROL!$C$12, $D$11, 100%, $F$11)</f>
        <v>6.2210999999999999</v>
      </c>
      <c r="K290" s="4"/>
      <c r="L290" s="9">
        <v>28.921800000000001</v>
      </c>
      <c r="M290" s="9">
        <v>12.063700000000001</v>
      </c>
      <c r="N290" s="9">
        <v>4.9444999999999997</v>
      </c>
      <c r="O290" s="9">
        <v>0.37459999999999999</v>
      </c>
      <c r="P290" s="9">
        <v>1.2192000000000001</v>
      </c>
      <c r="Q290" s="9">
        <v>30.451899999999998</v>
      </c>
      <c r="R290" s="9"/>
      <c r="S290" s="11"/>
    </row>
    <row r="291" spans="1:19" ht="15.75">
      <c r="A291" s="13">
        <v>50739</v>
      </c>
      <c r="B291" s="8">
        <f>7.0071 * CHOOSE(CONTROL!$C$12, $D$11, 100%, $F$11)</f>
        <v>7.0071000000000003</v>
      </c>
      <c r="C291" s="8">
        <f>7.0176 * CHOOSE(CONTROL!$C$12, $D$11, 100%, $F$11)</f>
        <v>7.0175999999999998</v>
      </c>
      <c r="D291" s="8">
        <f>7 * CHOOSE( CONTROL!$C$12, $D$11, 100%, $F$11)</f>
        <v>7</v>
      </c>
      <c r="E291" s="12">
        <f>7.0053 * CHOOSE( CONTROL!$C$12, $D$11, 100%, $F$11)</f>
        <v>7.0053000000000001</v>
      </c>
      <c r="F291" s="4">
        <f>8.0013 * CHOOSE(CONTROL!$C$12, $D$11, 100%, $F$11)</f>
        <v>8.0013000000000005</v>
      </c>
      <c r="G291" s="8">
        <f>6.8391 * CHOOSE( CONTROL!$C$12, $D$11, 100%, $F$11)</f>
        <v>6.8391000000000002</v>
      </c>
      <c r="H291" s="4">
        <f>7.7232 * CHOOSE(CONTROL!$C$12, $D$11, 100%, $F$11)</f>
        <v>7.7232000000000003</v>
      </c>
      <c r="I291" s="8">
        <f>6.8068 * CHOOSE(CONTROL!$C$12, $D$11, 100%, $F$11)</f>
        <v>6.8068</v>
      </c>
      <c r="J291" s="4">
        <f>6.7095 * CHOOSE(CONTROL!$C$12, $D$11, 100%, $F$11)</f>
        <v>6.7095000000000002</v>
      </c>
      <c r="K291" s="4"/>
      <c r="L291" s="9">
        <v>26.515499999999999</v>
      </c>
      <c r="M291" s="9">
        <v>11.6745</v>
      </c>
      <c r="N291" s="9">
        <v>4.7850000000000001</v>
      </c>
      <c r="O291" s="9">
        <v>0.36249999999999999</v>
      </c>
      <c r="P291" s="9">
        <v>1.2522</v>
      </c>
      <c r="Q291" s="9">
        <v>29.4696</v>
      </c>
      <c r="R291" s="9"/>
      <c r="S291" s="11"/>
    </row>
    <row r="292" spans="1:19" ht="15.75">
      <c r="A292" s="13">
        <v>50770</v>
      </c>
      <c r="B292" s="8">
        <f>6.9944 * CHOOSE(CONTROL!$C$12, $D$11, 100%, $F$11)</f>
        <v>6.9943999999999997</v>
      </c>
      <c r="C292" s="8">
        <f>7.0048 * CHOOSE(CONTROL!$C$12, $D$11, 100%, $F$11)</f>
        <v>7.0048000000000004</v>
      </c>
      <c r="D292" s="8">
        <f>6.9892 * CHOOSE( CONTROL!$C$12, $D$11, 100%, $F$11)</f>
        <v>6.9892000000000003</v>
      </c>
      <c r="E292" s="12">
        <f>6.9938 * CHOOSE( CONTROL!$C$12, $D$11, 100%, $F$11)</f>
        <v>6.9938000000000002</v>
      </c>
      <c r="F292" s="4">
        <f>7.9886 * CHOOSE(CONTROL!$C$12, $D$11, 100%, $F$11)</f>
        <v>7.9885999999999999</v>
      </c>
      <c r="G292" s="8">
        <f>6.8283 * CHOOSE( CONTROL!$C$12, $D$11, 100%, $F$11)</f>
        <v>6.8282999999999996</v>
      </c>
      <c r="H292" s="4">
        <f>7.7108 * CHOOSE(CONTROL!$C$12, $D$11, 100%, $F$11)</f>
        <v>7.7107999999999999</v>
      </c>
      <c r="I292" s="8">
        <f>6.8019 * CHOOSE(CONTROL!$C$12, $D$11, 100%, $F$11)</f>
        <v>6.8018999999999998</v>
      </c>
      <c r="J292" s="4">
        <f>6.6973 * CHOOSE(CONTROL!$C$12, $D$11, 100%, $F$11)</f>
        <v>6.6973000000000003</v>
      </c>
      <c r="K292" s="4"/>
      <c r="L292" s="9">
        <v>27.3993</v>
      </c>
      <c r="M292" s="9">
        <v>12.063700000000001</v>
      </c>
      <c r="N292" s="9">
        <v>4.9444999999999997</v>
      </c>
      <c r="O292" s="9">
        <v>0.37459999999999999</v>
      </c>
      <c r="P292" s="9">
        <v>1.2939000000000001</v>
      </c>
      <c r="Q292" s="9">
        <v>30.451899999999998</v>
      </c>
      <c r="R292" s="9"/>
      <c r="S292" s="11"/>
    </row>
    <row r="293" spans="1:19" ht="15.75">
      <c r="A293" s="13">
        <v>50801</v>
      </c>
      <c r="B293" s="8">
        <f>7.2615 * CHOOSE(CONTROL!$C$12, $D$11, 100%, $F$11)</f>
        <v>7.2614999999999998</v>
      </c>
      <c r="C293" s="8">
        <f>7.272 * CHOOSE(CONTROL!$C$12, $D$11, 100%, $F$11)</f>
        <v>7.2720000000000002</v>
      </c>
      <c r="D293" s="8">
        <f>7.2696 * CHOOSE( CONTROL!$C$12, $D$11, 100%, $F$11)</f>
        <v>7.2695999999999996</v>
      </c>
      <c r="E293" s="12">
        <f>7.2694 * CHOOSE( CONTROL!$C$12, $D$11, 100%, $F$11)</f>
        <v>7.2694000000000001</v>
      </c>
      <c r="F293" s="4">
        <f>8.2844 * CHOOSE(CONTROL!$C$12, $D$11, 100%, $F$11)</f>
        <v>8.2843999999999998</v>
      </c>
      <c r="G293" s="8">
        <f>7.1058 * CHOOSE( CONTROL!$C$12, $D$11, 100%, $F$11)</f>
        <v>7.1058000000000003</v>
      </c>
      <c r="H293" s="4">
        <f>7.9992 * CHOOSE(CONTROL!$C$12, $D$11, 100%, $F$11)</f>
        <v>7.9992000000000001</v>
      </c>
      <c r="I293" s="8">
        <f>7.0653 * CHOOSE(CONTROL!$C$12, $D$11, 100%, $F$11)</f>
        <v>7.0652999999999997</v>
      </c>
      <c r="J293" s="4">
        <f>6.9532 * CHOOSE(CONTROL!$C$12, $D$11, 100%, $F$11)</f>
        <v>6.9531999999999998</v>
      </c>
      <c r="K293" s="4"/>
      <c r="L293" s="9">
        <v>27.3993</v>
      </c>
      <c r="M293" s="9">
        <v>12.063700000000001</v>
      </c>
      <c r="N293" s="9">
        <v>4.9444999999999997</v>
      </c>
      <c r="O293" s="9">
        <v>0.37459999999999999</v>
      </c>
      <c r="P293" s="9">
        <v>1.2939000000000001</v>
      </c>
      <c r="Q293" s="9">
        <v>30.386800000000001</v>
      </c>
      <c r="R293" s="9"/>
      <c r="S293" s="11"/>
    </row>
    <row r="294" spans="1:19" ht="15.75">
      <c r="A294" s="13">
        <v>50829</v>
      </c>
      <c r="B294" s="8">
        <f>6.7924 * CHOOSE(CONTROL!$C$12, $D$11, 100%, $F$11)</f>
        <v>6.7923999999999998</v>
      </c>
      <c r="C294" s="8">
        <f>6.8028 * CHOOSE(CONTROL!$C$12, $D$11, 100%, $F$11)</f>
        <v>6.8028000000000004</v>
      </c>
      <c r="D294" s="8">
        <f>6.8028 * CHOOSE( CONTROL!$C$12, $D$11, 100%, $F$11)</f>
        <v>6.8028000000000004</v>
      </c>
      <c r="E294" s="12">
        <f>6.8017 * CHOOSE( CONTROL!$C$12, $D$11, 100%, $F$11)</f>
        <v>6.8017000000000003</v>
      </c>
      <c r="F294" s="4">
        <f>7.8075 * CHOOSE(CONTROL!$C$12, $D$11, 100%, $F$11)</f>
        <v>7.8075000000000001</v>
      </c>
      <c r="G294" s="8">
        <f>6.6484 * CHOOSE( CONTROL!$C$12, $D$11, 100%, $F$11)</f>
        <v>6.6483999999999996</v>
      </c>
      <c r="H294" s="4">
        <f>7.5343 * CHOOSE(CONTROL!$C$12, $D$11, 100%, $F$11)</f>
        <v>7.5343</v>
      </c>
      <c r="I294" s="8">
        <f>6.6046 * CHOOSE(CONTROL!$C$12, $D$11, 100%, $F$11)</f>
        <v>6.6045999999999996</v>
      </c>
      <c r="J294" s="4">
        <f>6.5037 * CHOOSE(CONTROL!$C$12, $D$11, 100%, $F$11)</f>
        <v>6.5037000000000003</v>
      </c>
      <c r="K294" s="4"/>
      <c r="L294" s="9">
        <v>24.747800000000002</v>
      </c>
      <c r="M294" s="9">
        <v>10.8962</v>
      </c>
      <c r="N294" s="9">
        <v>4.4660000000000002</v>
      </c>
      <c r="O294" s="9">
        <v>0.33829999999999999</v>
      </c>
      <c r="P294" s="9">
        <v>1.1687000000000001</v>
      </c>
      <c r="Q294" s="9">
        <v>27.446200000000001</v>
      </c>
      <c r="R294" s="9"/>
      <c r="S294" s="11"/>
    </row>
    <row r="295" spans="1:19" ht="15.75">
      <c r="A295" s="13">
        <v>50860</v>
      </c>
      <c r="B295" s="8">
        <f>6.6479 * CHOOSE(CONTROL!$C$12, $D$11, 100%, $F$11)</f>
        <v>6.6478999999999999</v>
      </c>
      <c r="C295" s="8">
        <f>6.6584 * CHOOSE(CONTROL!$C$12, $D$11, 100%, $F$11)</f>
        <v>6.6584000000000003</v>
      </c>
      <c r="D295" s="8">
        <f>6.6382 * CHOOSE( CONTROL!$C$12, $D$11, 100%, $F$11)</f>
        <v>6.6382000000000003</v>
      </c>
      <c r="E295" s="12">
        <f>6.6445 * CHOOSE( CONTROL!$C$12, $D$11, 100%, $F$11)</f>
        <v>6.6444999999999999</v>
      </c>
      <c r="F295" s="4">
        <f>7.6468 * CHOOSE(CONTROL!$C$12, $D$11, 100%, $F$11)</f>
        <v>7.6467999999999998</v>
      </c>
      <c r="G295" s="8">
        <f>6.4871 * CHOOSE( CONTROL!$C$12, $D$11, 100%, $F$11)</f>
        <v>6.4870999999999999</v>
      </c>
      <c r="H295" s="4">
        <f>7.3777 * CHOOSE(CONTROL!$C$12, $D$11, 100%, $F$11)</f>
        <v>7.3776999999999999</v>
      </c>
      <c r="I295" s="8">
        <f>6.4266 * CHOOSE(CONTROL!$C$12, $D$11, 100%, $F$11)</f>
        <v>6.4265999999999996</v>
      </c>
      <c r="J295" s="4">
        <f>6.3653 * CHOOSE(CONTROL!$C$12, $D$11, 100%, $F$11)</f>
        <v>6.3653000000000004</v>
      </c>
      <c r="K295" s="4"/>
      <c r="L295" s="9">
        <v>27.3993</v>
      </c>
      <c r="M295" s="9">
        <v>12.063700000000001</v>
      </c>
      <c r="N295" s="9">
        <v>4.9444999999999997</v>
      </c>
      <c r="O295" s="9">
        <v>0.37459999999999999</v>
      </c>
      <c r="P295" s="9">
        <v>1.2939000000000001</v>
      </c>
      <c r="Q295" s="9">
        <v>30.386800000000001</v>
      </c>
      <c r="R295" s="9"/>
      <c r="S295" s="11"/>
    </row>
    <row r="296" spans="1:19" ht="15.75">
      <c r="A296" s="13">
        <v>50890</v>
      </c>
      <c r="B296" s="8">
        <f>6.7489 * CHOOSE(CONTROL!$C$12, $D$11, 100%, $F$11)</f>
        <v>6.7488999999999999</v>
      </c>
      <c r="C296" s="8">
        <f>6.7593 * CHOOSE(CONTROL!$C$12, $D$11, 100%, $F$11)</f>
        <v>6.7592999999999996</v>
      </c>
      <c r="D296" s="8">
        <f>6.7625 * CHOOSE( CONTROL!$C$12, $D$11, 100%, $F$11)</f>
        <v>6.7625000000000002</v>
      </c>
      <c r="E296" s="12">
        <f>6.7603 * CHOOSE( CONTROL!$C$12, $D$11, 100%, $F$11)</f>
        <v>6.7603</v>
      </c>
      <c r="F296" s="4">
        <f>7.7561 * CHOOSE(CONTROL!$C$12, $D$11, 100%, $F$11)</f>
        <v>7.7561</v>
      </c>
      <c r="G296" s="8">
        <f>6.5734 * CHOOSE( CONTROL!$C$12, $D$11, 100%, $F$11)</f>
        <v>6.5734000000000004</v>
      </c>
      <c r="H296" s="4">
        <f>7.4842 * CHOOSE(CONTROL!$C$12, $D$11, 100%, $F$11)</f>
        <v>7.4842000000000004</v>
      </c>
      <c r="I296" s="8">
        <f>6.5135 * CHOOSE(CONTROL!$C$12, $D$11, 100%, $F$11)</f>
        <v>6.5134999999999996</v>
      </c>
      <c r="J296" s="4">
        <f>6.462 * CHOOSE(CONTROL!$C$12, $D$11, 100%, $F$11)</f>
        <v>6.4619999999999997</v>
      </c>
      <c r="K296" s="4"/>
      <c r="L296" s="9">
        <v>27.988800000000001</v>
      </c>
      <c r="M296" s="9">
        <v>11.6745</v>
      </c>
      <c r="N296" s="9">
        <v>4.7850000000000001</v>
      </c>
      <c r="O296" s="9">
        <v>0.36249999999999999</v>
      </c>
      <c r="P296" s="9">
        <v>1.1798</v>
      </c>
      <c r="Q296" s="9">
        <v>29.406600000000001</v>
      </c>
      <c r="R296" s="9"/>
      <c r="S296" s="11"/>
    </row>
    <row r="297" spans="1:19" ht="15.75">
      <c r="A297" s="13">
        <v>50921</v>
      </c>
      <c r="B297" s="8">
        <f>CHOOSE( CONTROL!$C$29, 6.9328, 6.9286) * CHOOSE(CONTROL!$C$12, $D$11, 100%, $F$11)</f>
        <v>6.9328000000000003</v>
      </c>
      <c r="C297" s="8">
        <f>CHOOSE( CONTROL!$C$29, 6.9433, 6.939) * CHOOSE(CONTROL!$C$12, $D$11, 100%, $F$11)</f>
        <v>6.9432999999999998</v>
      </c>
      <c r="D297" s="8">
        <f>CHOOSE( CONTROL!$C$29, 6.9212, 6.9169) * CHOOSE( CONTROL!$C$12, $D$11, 100%, $F$11)</f>
        <v>6.9211999999999998</v>
      </c>
      <c r="E297" s="12">
        <f>CHOOSE( CONTROL!$C$29, 6.9276, 6.9233) * CHOOSE( CONTROL!$C$12, $D$11, 100%, $F$11)</f>
        <v>6.9276</v>
      </c>
      <c r="F297" s="4">
        <f>CHOOSE( CONTROL!$C$29, 7.9077, 7.9035) * CHOOSE(CONTROL!$C$12, $D$11, 100%, $F$11)</f>
        <v>7.9077000000000002</v>
      </c>
      <c r="G297" s="8">
        <f>CHOOSE( CONTROL!$C$29, 6.7339, 6.7297) * CHOOSE( CONTROL!$C$12, $D$11, 100%, $F$11)</f>
        <v>6.7339000000000002</v>
      </c>
      <c r="H297" s="4">
        <f>CHOOSE( CONTROL!$C$29, 7.632, 7.6278) * CHOOSE(CONTROL!$C$12, $D$11, 100%, $F$11)</f>
        <v>7.6319999999999997</v>
      </c>
      <c r="I297" s="8">
        <f>CHOOSE( CONTROL!$C$29, 6.6683, 6.6642) * CHOOSE(CONTROL!$C$12, $D$11, 100%, $F$11)</f>
        <v>6.6683000000000003</v>
      </c>
      <c r="J297" s="4">
        <f>CHOOSE( CONTROL!$C$29, 6.6383, 6.6342) * CHOOSE(CONTROL!$C$12, $D$11, 100%, $F$11)</f>
        <v>6.6383000000000001</v>
      </c>
      <c r="K297" s="4"/>
      <c r="L297" s="9">
        <v>29.520499999999998</v>
      </c>
      <c r="M297" s="9">
        <v>12.063700000000001</v>
      </c>
      <c r="N297" s="9">
        <v>4.9444999999999997</v>
      </c>
      <c r="O297" s="9">
        <v>0.37459999999999999</v>
      </c>
      <c r="P297" s="9">
        <v>1.2192000000000001</v>
      </c>
      <c r="Q297" s="9">
        <v>30.386800000000001</v>
      </c>
      <c r="R297" s="9"/>
      <c r="S297" s="11"/>
    </row>
    <row r="298" spans="1:19" ht="15.75">
      <c r="A298" s="13">
        <v>50951</v>
      </c>
      <c r="B298" s="8">
        <f>CHOOSE( CONTROL!$C$29, 6.8215, 6.8173) * CHOOSE(CONTROL!$C$12, $D$11, 100%, $F$11)</f>
        <v>6.8215000000000003</v>
      </c>
      <c r="C298" s="8">
        <f>CHOOSE( CONTROL!$C$29, 6.8319, 6.8277) * CHOOSE(CONTROL!$C$12, $D$11, 100%, $F$11)</f>
        <v>6.8319000000000001</v>
      </c>
      <c r="D298" s="8">
        <f>CHOOSE( CONTROL!$C$29, 6.8043, 6.8) * CHOOSE( CONTROL!$C$12, $D$11, 100%, $F$11)</f>
        <v>6.8042999999999996</v>
      </c>
      <c r="E298" s="12">
        <f>CHOOSE( CONTROL!$C$29, 6.8127, 6.8085) * CHOOSE( CONTROL!$C$12, $D$11, 100%, $F$11)</f>
        <v>6.8127000000000004</v>
      </c>
      <c r="F298" s="4">
        <f>CHOOSE( CONTROL!$C$29, 7.786, 7.7817) * CHOOSE(CONTROL!$C$12, $D$11, 100%, $F$11)</f>
        <v>7.7859999999999996</v>
      </c>
      <c r="G298" s="8">
        <f>CHOOSE( CONTROL!$C$29, 6.6241, 6.62) * CHOOSE( CONTROL!$C$12, $D$11, 100%, $F$11)</f>
        <v>6.6241000000000003</v>
      </c>
      <c r="H298" s="4">
        <f>CHOOSE( CONTROL!$C$29, 7.5133, 7.5092) * CHOOSE(CONTROL!$C$12, $D$11, 100%, $F$11)</f>
        <v>7.5133000000000001</v>
      </c>
      <c r="I298" s="8">
        <f>CHOOSE( CONTROL!$C$29, 6.5637, 6.5597) * CHOOSE(CONTROL!$C$12, $D$11, 100%, $F$11)</f>
        <v>6.5636999999999999</v>
      </c>
      <c r="J298" s="4">
        <f>CHOOSE( CONTROL!$C$29, 6.5316, 6.5275) * CHOOSE(CONTROL!$C$12, $D$11, 100%, $F$11)</f>
        <v>6.5316000000000001</v>
      </c>
      <c r="K298" s="4"/>
      <c r="L298" s="9">
        <v>28.568200000000001</v>
      </c>
      <c r="M298" s="9">
        <v>11.6745</v>
      </c>
      <c r="N298" s="9">
        <v>4.7850000000000001</v>
      </c>
      <c r="O298" s="9">
        <v>0.36249999999999999</v>
      </c>
      <c r="P298" s="9">
        <v>1.1798</v>
      </c>
      <c r="Q298" s="9">
        <v>29.406600000000001</v>
      </c>
      <c r="R298" s="9"/>
      <c r="S298" s="11"/>
    </row>
    <row r="299" spans="1:19" ht="15.75">
      <c r="A299" s="13">
        <v>50982</v>
      </c>
      <c r="B299" s="8">
        <f>CHOOSE( CONTROL!$C$29, 7.1146, 7.1104) * CHOOSE(CONTROL!$C$12, $D$11, 100%, $F$11)</f>
        <v>7.1146000000000003</v>
      </c>
      <c r="C299" s="8">
        <f>CHOOSE( CONTROL!$C$29, 7.1251, 7.1208) * CHOOSE(CONTROL!$C$12, $D$11, 100%, $F$11)</f>
        <v>7.1250999999999998</v>
      </c>
      <c r="D299" s="8">
        <f>CHOOSE( CONTROL!$C$29, 7.1312, 7.127) * CHOOSE( CONTROL!$C$12, $D$11, 100%, $F$11)</f>
        <v>7.1311999999999998</v>
      </c>
      <c r="E299" s="12">
        <f>CHOOSE( CONTROL!$C$29, 7.1274, 7.1232) * CHOOSE( CONTROL!$C$12, $D$11, 100%, $F$11)</f>
        <v>7.1273999999999997</v>
      </c>
      <c r="F299" s="4">
        <f>CHOOSE( CONTROL!$C$29, 8.1245, 8.1203) * CHOOSE(CONTROL!$C$12, $D$11, 100%, $F$11)</f>
        <v>8.1244999999999994</v>
      </c>
      <c r="G299" s="8">
        <f>CHOOSE( CONTROL!$C$29, 6.9359, 6.9318) * CHOOSE( CONTROL!$C$12, $D$11, 100%, $F$11)</f>
        <v>6.9359000000000002</v>
      </c>
      <c r="H299" s="4">
        <f>CHOOSE( CONTROL!$C$29, 7.8433, 7.8392) * CHOOSE(CONTROL!$C$12, $D$11, 100%, $F$11)</f>
        <v>7.8433000000000002</v>
      </c>
      <c r="I299" s="8">
        <f>CHOOSE( CONTROL!$C$29, 6.9001, 6.896) * CHOOSE(CONTROL!$C$12, $D$11, 100%, $F$11)</f>
        <v>6.9001000000000001</v>
      </c>
      <c r="J299" s="4">
        <f>CHOOSE( CONTROL!$C$29, 6.8125, 6.8084) * CHOOSE(CONTROL!$C$12, $D$11, 100%, $F$11)</f>
        <v>6.8125</v>
      </c>
      <c r="K299" s="4"/>
      <c r="L299" s="9">
        <v>29.520499999999998</v>
      </c>
      <c r="M299" s="9">
        <v>12.063700000000001</v>
      </c>
      <c r="N299" s="9">
        <v>4.9444999999999997</v>
      </c>
      <c r="O299" s="9">
        <v>0.37459999999999999</v>
      </c>
      <c r="P299" s="9">
        <v>1.2192000000000001</v>
      </c>
      <c r="Q299" s="9">
        <v>30.386800000000001</v>
      </c>
      <c r="R299" s="9"/>
      <c r="S299" s="11"/>
    </row>
    <row r="300" spans="1:19" ht="15.75">
      <c r="A300" s="13">
        <v>51013</v>
      </c>
      <c r="B300" s="8">
        <f>CHOOSE( CONTROL!$C$29, 6.5662, 6.5619) * CHOOSE(CONTROL!$C$12, $D$11, 100%, $F$11)</f>
        <v>6.5662000000000003</v>
      </c>
      <c r="C300" s="8">
        <f>CHOOSE( CONTROL!$C$29, 6.5766, 6.5724) * CHOOSE(CONTROL!$C$12, $D$11, 100%, $F$11)</f>
        <v>6.5766</v>
      </c>
      <c r="D300" s="8">
        <f>CHOOSE( CONTROL!$C$29, 6.5992, 6.5949) * CHOOSE( CONTROL!$C$12, $D$11, 100%, $F$11)</f>
        <v>6.5991999999999997</v>
      </c>
      <c r="E300" s="12">
        <f>CHOOSE( CONTROL!$C$29, 6.5894, 6.5851) * CHOOSE( CONTROL!$C$12, $D$11, 100%, $F$11)</f>
        <v>6.5894000000000004</v>
      </c>
      <c r="F300" s="4">
        <f>CHOOSE( CONTROL!$C$29, 7.6047, 7.6005) * CHOOSE(CONTROL!$C$12, $D$11, 100%, $F$11)</f>
        <v>7.6047000000000002</v>
      </c>
      <c r="G300" s="8">
        <f>CHOOSE( CONTROL!$C$29, 6.4069, 6.4027) * CHOOSE( CONTROL!$C$12, $D$11, 100%, $F$11)</f>
        <v>6.4069000000000003</v>
      </c>
      <c r="H300" s="4">
        <f>CHOOSE( CONTROL!$C$29, 7.3366, 7.3325) * CHOOSE(CONTROL!$C$12, $D$11, 100%, $F$11)</f>
        <v>7.3365999999999998</v>
      </c>
      <c r="I300" s="8">
        <f>CHOOSE( CONTROL!$C$29, 6.3657, 6.3616) * CHOOSE(CONTROL!$C$12, $D$11, 100%, $F$11)</f>
        <v>6.3657000000000004</v>
      </c>
      <c r="J300" s="4">
        <f>CHOOSE( CONTROL!$C$29, 6.2869, 6.2829) * CHOOSE(CONTROL!$C$12, $D$11, 100%, $F$11)</f>
        <v>6.2869000000000002</v>
      </c>
      <c r="K300" s="4"/>
      <c r="L300" s="9">
        <v>29.520499999999998</v>
      </c>
      <c r="M300" s="9">
        <v>12.063700000000001</v>
      </c>
      <c r="N300" s="9">
        <v>4.9444999999999997</v>
      </c>
      <c r="O300" s="9">
        <v>0.37459999999999999</v>
      </c>
      <c r="P300" s="9">
        <v>1.2192000000000001</v>
      </c>
      <c r="Q300" s="9">
        <v>30.386800000000001</v>
      </c>
      <c r="R300" s="9"/>
      <c r="S300" s="11"/>
    </row>
    <row r="301" spans="1:19" ht="15.75">
      <c r="A301" s="13">
        <v>51043</v>
      </c>
      <c r="B301" s="8">
        <f>CHOOSE( CONTROL!$C$29, 6.4288, 6.4246) * CHOOSE(CONTROL!$C$12, $D$11, 100%, $F$11)</f>
        <v>6.4287999999999998</v>
      </c>
      <c r="C301" s="8">
        <f>CHOOSE( CONTROL!$C$29, 6.4392, 6.435) * CHOOSE(CONTROL!$C$12, $D$11, 100%, $F$11)</f>
        <v>6.4391999999999996</v>
      </c>
      <c r="D301" s="8">
        <f>CHOOSE( CONTROL!$C$29, 6.4618, 6.4576) * CHOOSE( CONTROL!$C$12, $D$11, 100%, $F$11)</f>
        <v>6.4618000000000002</v>
      </c>
      <c r="E301" s="12">
        <f>CHOOSE( CONTROL!$C$29, 6.452, 6.4478) * CHOOSE( CONTROL!$C$12, $D$11, 100%, $F$11)</f>
        <v>6.452</v>
      </c>
      <c r="F301" s="4">
        <f>CHOOSE( CONTROL!$C$29, 7.4674, 7.4631) * CHOOSE(CONTROL!$C$12, $D$11, 100%, $F$11)</f>
        <v>7.4673999999999996</v>
      </c>
      <c r="G301" s="8">
        <f>CHOOSE( CONTROL!$C$29, 6.2727, 6.2685) * CHOOSE( CONTROL!$C$12, $D$11, 100%, $F$11)</f>
        <v>6.2727000000000004</v>
      </c>
      <c r="H301" s="4">
        <f>CHOOSE( CONTROL!$C$29, 7.2027, 7.1986) * CHOOSE(CONTROL!$C$12, $D$11, 100%, $F$11)</f>
        <v>7.2027000000000001</v>
      </c>
      <c r="I301" s="8">
        <f>CHOOSE( CONTROL!$C$29, 6.2323, 6.2282) * CHOOSE(CONTROL!$C$12, $D$11, 100%, $F$11)</f>
        <v>6.2323000000000004</v>
      </c>
      <c r="J301" s="4">
        <f>CHOOSE( CONTROL!$C$29, 6.1553, 6.1513) * CHOOSE(CONTROL!$C$12, $D$11, 100%, $F$11)</f>
        <v>6.1553000000000004</v>
      </c>
      <c r="K301" s="4"/>
      <c r="L301" s="9">
        <v>28.568200000000001</v>
      </c>
      <c r="M301" s="9">
        <v>11.6745</v>
      </c>
      <c r="N301" s="9">
        <v>4.7850000000000001</v>
      </c>
      <c r="O301" s="9">
        <v>0.36249999999999999</v>
      </c>
      <c r="P301" s="9">
        <v>1.1798</v>
      </c>
      <c r="Q301" s="9">
        <v>29.406600000000001</v>
      </c>
      <c r="R301" s="9"/>
      <c r="S301" s="11"/>
    </row>
    <row r="302" spans="1:19" ht="15.75">
      <c r="A302" s="13">
        <v>51074</v>
      </c>
      <c r="B302" s="8">
        <f>6.7097 * CHOOSE(CONTROL!$C$12, $D$11, 100%, $F$11)</f>
        <v>6.7096999999999998</v>
      </c>
      <c r="C302" s="8">
        <f>6.7202 * CHOOSE(CONTROL!$C$12, $D$11, 100%, $F$11)</f>
        <v>6.7202000000000002</v>
      </c>
      <c r="D302" s="8">
        <f>6.7246 * CHOOSE( CONTROL!$C$12, $D$11, 100%, $F$11)</f>
        <v>6.7245999999999997</v>
      </c>
      <c r="E302" s="12">
        <f>6.722 * CHOOSE( CONTROL!$C$12, $D$11, 100%, $F$11)</f>
        <v>6.7220000000000004</v>
      </c>
      <c r="F302" s="4">
        <f>7.717 * CHOOSE(CONTROL!$C$12, $D$11, 100%, $F$11)</f>
        <v>7.7169999999999996</v>
      </c>
      <c r="G302" s="8">
        <f>6.5368 * CHOOSE( CONTROL!$C$12, $D$11, 100%, $F$11)</f>
        <v>6.5368000000000004</v>
      </c>
      <c r="H302" s="4">
        <f>7.4461 * CHOOSE(CONTROL!$C$12, $D$11, 100%, $F$11)</f>
        <v>7.4461000000000004</v>
      </c>
      <c r="I302" s="8">
        <f>6.4983 * CHOOSE(CONTROL!$C$12, $D$11, 100%, $F$11)</f>
        <v>6.4983000000000004</v>
      </c>
      <c r="J302" s="4">
        <f>6.4245 * CHOOSE(CONTROL!$C$12, $D$11, 100%, $F$11)</f>
        <v>6.4245000000000001</v>
      </c>
      <c r="K302" s="4"/>
      <c r="L302" s="9">
        <v>28.921800000000001</v>
      </c>
      <c r="M302" s="9">
        <v>12.063700000000001</v>
      </c>
      <c r="N302" s="9">
        <v>4.9444999999999997</v>
      </c>
      <c r="O302" s="9">
        <v>0.37459999999999999</v>
      </c>
      <c r="P302" s="9">
        <v>1.2192000000000001</v>
      </c>
      <c r="Q302" s="9">
        <v>30.386800000000001</v>
      </c>
      <c r="R302" s="9"/>
      <c r="S302" s="11"/>
    </row>
    <row r="303" spans="1:19" ht="15.75">
      <c r="A303" s="13">
        <v>51104</v>
      </c>
      <c r="B303" s="8">
        <f>7.2361 * CHOOSE(CONTROL!$C$12, $D$11, 100%, $F$11)</f>
        <v>7.2361000000000004</v>
      </c>
      <c r="C303" s="8">
        <f>7.2466 * CHOOSE(CONTROL!$C$12, $D$11, 100%, $F$11)</f>
        <v>7.2465999999999999</v>
      </c>
      <c r="D303" s="8">
        <f>7.229 * CHOOSE( CONTROL!$C$12, $D$11, 100%, $F$11)</f>
        <v>7.2290000000000001</v>
      </c>
      <c r="E303" s="12">
        <f>7.2343 * CHOOSE( CONTROL!$C$12, $D$11, 100%, $F$11)</f>
        <v>7.2343000000000002</v>
      </c>
      <c r="F303" s="4">
        <f>8.2303 * CHOOSE(CONTROL!$C$12, $D$11, 100%, $F$11)</f>
        <v>8.2302999999999997</v>
      </c>
      <c r="G303" s="8">
        <f>7.0624 * CHOOSE( CONTROL!$C$12, $D$11, 100%, $F$11)</f>
        <v>7.0624000000000002</v>
      </c>
      <c r="H303" s="4">
        <f>7.9465 * CHOOSE(CONTROL!$C$12, $D$11, 100%, $F$11)</f>
        <v>7.9465000000000003</v>
      </c>
      <c r="I303" s="8">
        <f>7.0264 * CHOOSE(CONTROL!$C$12, $D$11, 100%, $F$11)</f>
        <v>7.0263999999999998</v>
      </c>
      <c r="J303" s="4">
        <f>6.9289 * CHOOSE(CONTROL!$C$12, $D$11, 100%, $F$11)</f>
        <v>6.9288999999999996</v>
      </c>
      <c r="K303" s="4"/>
      <c r="L303" s="9">
        <v>26.515499999999999</v>
      </c>
      <c r="M303" s="9">
        <v>11.6745</v>
      </c>
      <c r="N303" s="9">
        <v>4.7850000000000001</v>
      </c>
      <c r="O303" s="9">
        <v>0.36249999999999999</v>
      </c>
      <c r="P303" s="9">
        <v>1.2522</v>
      </c>
      <c r="Q303" s="9">
        <v>29.406600000000001</v>
      </c>
      <c r="R303" s="9"/>
      <c r="S303" s="11"/>
    </row>
    <row r="304" spans="1:19" ht="15.75">
      <c r="A304" s="13">
        <v>51135</v>
      </c>
      <c r="B304" s="8">
        <f>7.223 * CHOOSE(CONTROL!$C$12, $D$11, 100%, $F$11)</f>
        <v>7.2229999999999999</v>
      </c>
      <c r="C304" s="8">
        <f>7.2334 * CHOOSE(CONTROL!$C$12, $D$11, 100%, $F$11)</f>
        <v>7.2333999999999996</v>
      </c>
      <c r="D304" s="8">
        <f>7.2178 * CHOOSE( CONTROL!$C$12, $D$11, 100%, $F$11)</f>
        <v>7.2178000000000004</v>
      </c>
      <c r="E304" s="12">
        <f>7.2224 * CHOOSE( CONTROL!$C$12, $D$11, 100%, $F$11)</f>
        <v>7.2224000000000004</v>
      </c>
      <c r="F304" s="4">
        <f>8.2172 * CHOOSE(CONTROL!$C$12, $D$11, 100%, $F$11)</f>
        <v>8.2172000000000001</v>
      </c>
      <c r="G304" s="8">
        <f>7.0511 * CHOOSE( CONTROL!$C$12, $D$11, 100%, $F$11)</f>
        <v>7.0510999999999999</v>
      </c>
      <c r="H304" s="4">
        <f>7.9336 * CHOOSE(CONTROL!$C$12, $D$11, 100%, $F$11)</f>
        <v>7.9336000000000002</v>
      </c>
      <c r="I304" s="8">
        <f>7.021 * CHOOSE(CONTROL!$C$12, $D$11, 100%, $F$11)</f>
        <v>7.0209999999999999</v>
      </c>
      <c r="J304" s="4">
        <f>6.9163 * CHOOSE(CONTROL!$C$12, $D$11, 100%, $F$11)</f>
        <v>6.9162999999999997</v>
      </c>
      <c r="K304" s="4"/>
      <c r="L304" s="9">
        <v>27.3993</v>
      </c>
      <c r="M304" s="9">
        <v>12.063700000000001</v>
      </c>
      <c r="N304" s="9">
        <v>4.9444999999999997</v>
      </c>
      <c r="O304" s="9">
        <v>0.37459999999999999</v>
      </c>
      <c r="P304" s="9">
        <v>1.2939000000000001</v>
      </c>
      <c r="Q304" s="9">
        <v>30.386800000000001</v>
      </c>
      <c r="R304" s="9"/>
      <c r="S304" s="11"/>
    </row>
    <row r="305" spans="1:19" ht="15.75">
      <c r="A305" s="13">
        <v>51166</v>
      </c>
      <c r="B305" s="8">
        <f>7.4989 * CHOOSE(CONTROL!$C$12, $D$11, 100%, $F$11)</f>
        <v>7.4988999999999999</v>
      </c>
      <c r="C305" s="8">
        <f>7.5093 * CHOOSE(CONTROL!$C$12, $D$11, 100%, $F$11)</f>
        <v>7.5092999999999996</v>
      </c>
      <c r="D305" s="8">
        <f>7.5069 * CHOOSE( CONTROL!$C$12, $D$11, 100%, $F$11)</f>
        <v>7.5068999999999999</v>
      </c>
      <c r="E305" s="12">
        <f>7.5067 * CHOOSE( CONTROL!$C$12, $D$11, 100%, $F$11)</f>
        <v>7.5067000000000004</v>
      </c>
      <c r="F305" s="4">
        <f>8.5218 * CHOOSE(CONTROL!$C$12, $D$11, 100%, $F$11)</f>
        <v>8.5218000000000007</v>
      </c>
      <c r="G305" s="8">
        <f>7.3372 * CHOOSE( CONTROL!$C$12, $D$11, 100%, $F$11)</f>
        <v>7.3372000000000002</v>
      </c>
      <c r="H305" s="4">
        <f>8.2305 * CHOOSE(CONTROL!$C$12, $D$11, 100%, $F$11)</f>
        <v>8.2304999999999993</v>
      </c>
      <c r="I305" s="8">
        <f>7.2928 * CHOOSE(CONTROL!$C$12, $D$11, 100%, $F$11)</f>
        <v>7.2927999999999997</v>
      </c>
      <c r="J305" s="4">
        <f>7.1806 * CHOOSE(CONTROL!$C$12, $D$11, 100%, $F$11)</f>
        <v>7.1806000000000001</v>
      </c>
      <c r="K305" s="4"/>
      <c r="L305" s="9">
        <v>27.3993</v>
      </c>
      <c r="M305" s="9">
        <v>12.063700000000001</v>
      </c>
      <c r="N305" s="9">
        <v>4.9444999999999997</v>
      </c>
      <c r="O305" s="9">
        <v>0.37459999999999999</v>
      </c>
      <c r="P305" s="9">
        <v>1.2939000000000001</v>
      </c>
      <c r="Q305" s="9">
        <v>30.3217</v>
      </c>
      <c r="R305" s="9"/>
      <c r="S305" s="11"/>
    </row>
    <row r="306" spans="1:19" ht="15.75">
      <c r="A306" s="13">
        <v>51194</v>
      </c>
      <c r="B306" s="8">
        <f>7.0144 * CHOOSE(CONTROL!$C$12, $D$11, 100%, $F$11)</f>
        <v>7.0144000000000002</v>
      </c>
      <c r="C306" s="8">
        <f>7.0248 * CHOOSE(CONTROL!$C$12, $D$11, 100%, $F$11)</f>
        <v>7.0247999999999999</v>
      </c>
      <c r="D306" s="8">
        <f>7.0248 * CHOOSE( CONTROL!$C$12, $D$11, 100%, $F$11)</f>
        <v>7.0247999999999999</v>
      </c>
      <c r="E306" s="12">
        <f>7.0237 * CHOOSE( CONTROL!$C$12, $D$11, 100%, $F$11)</f>
        <v>7.0236999999999998</v>
      </c>
      <c r="F306" s="4">
        <f>8.0295 * CHOOSE(CONTROL!$C$12, $D$11, 100%, $F$11)</f>
        <v>8.0295000000000005</v>
      </c>
      <c r="G306" s="8">
        <f>6.8648 * CHOOSE( CONTROL!$C$12, $D$11, 100%, $F$11)</f>
        <v>6.8647999999999998</v>
      </c>
      <c r="H306" s="4">
        <f>7.7506 * CHOOSE(CONTROL!$C$12, $D$11, 100%, $F$11)</f>
        <v>7.7506000000000004</v>
      </c>
      <c r="I306" s="8">
        <f>6.8174 * CHOOSE(CONTROL!$C$12, $D$11, 100%, $F$11)</f>
        <v>6.8174000000000001</v>
      </c>
      <c r="J306" s="4">
        <f>6.7164 * CHOOSE(CONTROL!$C$12, $D$11, 100%, $F$11)</f>
        <v>6.7164000000000001</v>
      </c>
      <c r="K306" s="4"/>
      <c r="L306" s="9">
        <v>25.631599999999999</v>
      </c>
      <c r="M306" s="9">
        <v>11.285299999999999</v>
      </c>
      <c r="N306" s="9">
        <v>4.6254999999999997</v>
      </c>
      <c r="O306" s="9">
        <v>0.35039999999999999</v>
      </c>
      <c r="P306" s="9">
        <v>1.2104999999999999</v>
      </c>
      <c r="Q306" s="9">
        <v>28.365500000000001</v>
      </c>
      <c r="R306" s="9"/>
      <c r="S306" s="11"/>
    </row>
    <row r="307" spans="1:19" ht="15.75">
      <c r="A307" s="13">
        <v>51226</v>
      </c>
      <c r="B307" s="8">
        <f>6.8652 * CHOOSE(CONTROL!$C$12, $D$11, 100%, $F$11)</f>
        <v>6.8651999999999997</v>
      </c>
      <c r="C307" s="8">
        <f>6.8756 * CHOOSE(CONTROL!$C$12, $D$11, 100%, $F$11)</f>
        <v>6.8756000000000004</v>
      </c>
      <c r="D307" s="8">
        <f>6.8554 * CHOOSE( CONTROL!$C$12, $D$11, 100%, $F$11)</f>
        <v>6.8554000000000004</v>
      </c>
      <c r="E307" s="12">
        <f>6.8617 * CHOOSE( CONTROL!$C$12, $D$11, 100%, $F$11)</f>
        <v>6.8616999999999999</v>
      </c>
      <c r="F307" s="4">
        <f>7.8641 * CHOOSE(CONTROL!$C$12, $D$11, 100%, $F$11)</f>
        <v>7.8640999999999996</v>
      </c>
      <c r="G307" s="8">
        <f>6.6988 * CHOOSE( CONTROL!$C$12, $D$11, 100%, $F$11)</f>
        <v>6.6988000000000003</v>
      </c>
      <c r="H307" s="4">
        <f>7.5894 * CHOOSE(CONTROL!$C$12, $D$11, 100%, $F$11)</f>
        <v>7.5894000000000004</v>
      </c>
      <c r="I307" s="8">
        <f>6.6349 * CHOOSE(CONTROL!$C$12, $D$11, 100%, $F$11)</f>
        <v>6.6349</v>
      </c>
      <c r="J307" s="4">
        <f>6.5734 * CHOOSE(CONTROL!$C$12, $D$11, 100%, $F$11)</f>
        <v>6.5734000000000004</v>
      </c>
      <c r="K307" s="4"/>
      <c r="L307" s="9">
        <v>27.3993</v>
      </c>
      <c r="M307" s="9">
        <v>12.063700000000001</v>
      </c>
      <c r="N307" s="9">
        <v>4.9444999999999997</v>
      </c>
      <c r="O307" s="9">
        <v>0.37459999999999999</v>
      </c>
      <c r="P307" s="9">
        <v>1.2939000000000001</v>
      </c>
      <c r="Q307" s="9">
        <v>30.3217</v>
      </c>
      <c r="R307" s="9"/>
      <c r="S307" s="11"/>
    </row>
    <row r="308" spans="1:19" ht="15.75">
      <c r="A308" s="13">
        <v>51256</v>
      </c>
      <c r="B308" s="8">
        <f>6.9694 * CHOOSE(CONTROL!$C$12, $D$11, 100%, $F$11)</f>
        <v>6.9694000000000003</v>
      </c>
      <c r="C308" s="8">
        <f>6.9799 * CHOOSE(CONTROL!$C$12, $D$11, 100%, $F$11)</f>
        <v>6.9798999999999998</v>
      </c>
      <c r="D308" s="8">
        <f>6.9831 * CHOOSE( CONTROL!$C$12, $D$11, 100%, $F$11)</f>
        <v>6.9831000000000003</v>
      </c>
      <c r="E308" s="12">
        <f>6.9808 * CHOOSE( CONTROL!$C$12, $D$11, 100%, $F$11)</f>
        <v>6.9808000000000003</v>
      </c>
      <c r="F308" s="4">
        <f>7.9767 * CHOOSE(CONTROL!$C$12, $D$11, 100%, $F$11)</f>
        <v>7.9767000000000001</v>
      </c>
      <c r="G308" s="8">
        <f>6.7883 * CHOOSE( CONTROL!$C$12, $D$11, 100%, $F$11)</f>
        <v>6.7882999999999996</v>
      </c>
      <c r="H308" s="4">
        <f>7.6992 * CHOOSE(CONTROL!$C$12, $D$11, 100%, $F$11)</f>
        <v>7.6992000000000003</v>
      </c>
      <c r="I308" s="8">
        <f>6.7249 * CHOOSE(CONTROL!$C$12, $D$11, 100%, $F$11)</f>
        <v>6.7248999999999999</v>
      </c>
      <c r="J308" s="4">
        <f>6.6734 * CHOOSE(CONTROL!$C$12, $D$11, 100%, $F$11)</f>
        <v>6.6734</v>
      </c>
      <c r="K308" s="4"/>
      <c r="L308" s="9">
        <v>27.988800000000001</v>
      </c>
      <c r="M308" s="9">
        <v>11.6745</v>
      </c>
      <c r="N308" s="9">
        <v>4.7850000000000001</v>
      </c>
      <c r="O308" s="9">
        <v>0.36249999999999999</v>
      </c>
      <c r="P308" s="9">
        <v>1.1798</v>
      </c>
      <c r="Q308" s="9">
        <v>29.343599999999999</v>
      </c>
      <c r="R308" s="9"/>
      <c r="S308" s="11"/>
    </row>
    <row r="309" spans="1:19" ht="15.75">
      <c r="A309" s="13">
        <v>51287</v>
      </c>
      <c r="B309" s="8">
        <f>CHOOSE( CONTROL!$C$29, 7.1593, 7.155) * CHOOSE(CONTROL!$C$12, $D$11, 100%, $F$11)</f>
        <v>7.1593</v>
      </c>
      <c r="C309" s="8">
        <f>CHOOSE( CONTROL!$C$29, 7.1697, 7.1654) * CHOOSE(CONTROL!$C$12, $D$11, 100%, $F$11)</f>
        <v>7.1696999999999997</v>
      </c>
      <c r="D309" s="8">
        <f>CHOOSE( CONTROL!$C$29, 7.1476, 7.1434) * CHOOSE( CONTROL!$C$12, $D$11, 100%, $F$11)</f>
        <v>7.1475999999999997</v>
      </c>
      <c r="E309" s="12">
        <f>CHOOSE( CONTROL!$C$29, 7.154, 7.1498) * CHOOSE( CONTROL!$C$12, $D$11, 100%, $F$11)</f>
        <v>7.1539999999999999</v>
      </c>
      <c r="F309" s="4">
        <f>CHOOSE( CONTROL!$C$29, 8.1342, 8.1299) * CHOOSE(CONTROL!$C$12, $D$11, 100%, $F$11)</f>
        <v>8.1341999999999999</v>
      </c>
      <c r="G309" s="8">
        <f>CHOOSE( CONTROL!$C$29, 6.9546, 6.9505) * CHOOSE( CONTROL!$C$12, $D$11, 100%, $F$11)</f>
        <v>6.9546000000000001</v>
      </c>
      <c r="H309" s="4">
        <f>CHOOSE( CONTROL!$C$29, 7.8527, 7.8486) * CHOOSE(CONTROL!$C$12, $D$11, 100%, $F$11)</f>
        <v>7.8526999999999996</v>
      </c>
      <c r="I309" s="8">
        <f>CHOOSE( CONTROL!$C$29, 6.8854, 6.8813) * CHOOSE(CONTROL!$C$12, $D$11, 100%, $F$11)</f>
        <v>6.8853999999999997</v>
      </c>
      <c r="J309" s="4">
        <f>CHOOSE( CONTROL!$C$29, 6.8552, 6.8512) * CHOOSE(CONTROL!$C$12, $D$11, 100%, $F$11)</f>
        <v>6.8552</v>
      </c>
      <c r="K309" s="4"/>
      <c r="L309" s="9">
        <v>29.520499999999998</v>
      </c>
      <c r="M309" s="9">
        <v>12.063700000000001</v>
      </c>
      <c r="N309" s="9">
        <v>4.9444999999999997</v>
      </c>
      <c r="O309" s="9">
        <v>0.37459999999999999</v>
      </c>
      <c r="P309" s="9">
        <v>1.2192000000000001</v>
      </c>
      <c r="Q309" s="9">
        <v>30.3217</v>
      </c>
      <c r="R309" s="9"/>
      <c r="S309" s="11"/>
    </row>
    <row r="310" spans="1:19" ht="15.75">
      <c r="A310" s="13">
        <v>51317</v>
      </c>
      <c r="B310" s="8">
        <f>CHOOSE( CONTROL!$C$29, 7.0443, 7.0401) * CHOOSE(CONTROL!$C$12, $D$11, 100%, $F$11)</f>
        <v>7.0442999999999998</v>
      </c>
      <c r="C310" s="8">
        <f>CHOOSE( CONTROL!$C$29, 7.0547, 7.0505) * CHOOSE(CONTROL!$C$12, $D$11, 100%, $F$11)</f>
        <v>7.0547000000000004</v>
      </c>
      <c r="D310" s="8">
        <f>CHOOSE( CONTROL!$C$29, 7.0271, 7.0228) * CHOOSE( CONTROL!$C$12, $D$11, 100%, $F$11)</f>
        <v>7.0270999999999999</v>
      </c>
      <c r="E310" s="12">
        <f>CHOOSE( CONTROL!$C$29, 7.0355, 7.0313) * CHOOSE( CONTROL!$C$12, $D$11, 100%, $F$11)</f>
        <v>7.0354999999999999</v>
      </c>
      <c r="F310" s="4">
        <f>CHOOSE( CONTROL!$C$29, 8.0088, 8.0045) * CHOOSE(CONTROL!$C$12, $D$11, 100%, $F$11)</f>
        <v>8.0088000000000008</v>
      </c>
      <c r="G310" s="8">
        <f>CHOOSE( CONTROL!$C$29, 6.8413, 6.8371) * CHOOSE( CONTROL!$C$12, $D$11, 100%, $F$11)</f>
        <v>6.8413000000000004</v>
      </c>
      <c r="H310" s="4">
        <f>CHOOSE( CONTROL!$C$29, 7.7305, 7.7263) * CHOOSE(CONTROL!$C$12, $D$11, 100%, $F$11)</f>
        <v>7.7305000000000001</v>
      </c>
      <c r="I310" s="8">
        <f>CHOOSE( CONTROL!$C$29, 6.7773, 6.7733) * CHOOSE(CONTROL!$C$12, $D$11, 100%, $F$11)</f>
        <v>6.7773000000000003</v>
      </c>
      <c r="J310" s="4">
        <f>CHOOSE( CONTROL!$C$29, 6.7451, 6.741) * CHOOSE(CONTROL!$C$12, $D$11, 100%, $F$11)</f>
        <v>6.7450999999999999</v>
      </c>
      <c r="K310" s="4"/>
      <c r="L310" s="9">
        <v>28.568200000000001</v>
      </c>
      <c r="M310" s="9">
        <v>11.6745</v>
      </c>
      <c r="N310" s="9">
        <v>4.7850000000000001</v>
      </c>
      <c r="O310" s="9">
        <v>0.36249999999999999</v>
      </c>
      <c r="P310" s="9">
        <v>1.1798</v>
      </c>
      <c r="Q310" s="9">
        <v>29.343599999999999</v>
      </c>
      <c r="R310" s="9"/>
      <c r="S310" s="11"/>
    </row>
    <row r="311" spans="1:19" ht="15.75">
      <c r="A311" s="13">
        <v>51348</v>
      </c>
      <c r="B311" s="8">
        <f>CHOOSE( CONTROL!$C$29, 7.347, 7.3428) * CHOOSE(CONTROL!$C$12, $D$11, 100%, $F$11)</f>
        <v>7.3470000000000004</v>
      </c>
      <c r="C311" s="8">
        <f>CHOOSE( CONTROL!$C$29, 7.3575, 7.3532) * CHOOSE(CONTROL!$C$12, $D$11, 100%, $F$11)</f>
        <v>7.3574999999999999</v>
      </c>
      <c r="D311" s="8">
        <f>CHOOSE( CONTROL!$C$29, 7.3636, 7.3593) * CHOOSE( CONTROL!$C$12, $D$11, 100%, $F$11)</f>
        <v>7.3635999999999999</v>
      </c>
      <c r="E311" s="12">
        <f>CHOOSE( CONTROL!$C$29, 7.3598, 7.3555) * CHOOSE( CONTROL!$C$12, $D$11, 100%, $F$11)</f>
        <v>7.3597999999999999</v>
      </c>
      <c r="F311" s="4">
        <f>CHOOSE( CONTROL!$C$29, 8.3569, 8.3526) * CHOOSE(CONTROL!$C$12, $D$11, 100%, $F$11)</f>
        <v>8.3568999999999996</v>
      </c>
      <c r="G311" s="8">
        <f>CHOOSE( CONTROL!$C$29, 7.1624, 7.1583) * CHOOSE( CONTROL!$C$12, $D$11, 100%, $F$11)</f>
        <v>7.1623999999999999</v>
      </c>
      <c r="H311" s="4">
        <f>CHOOSE( CONTROL!$C$29, 8.0698, 8.0657) * CHOOSE(CONTROL!$C$12, $D$11, 100%, $F$11)</f>
        <v>8.0698000000000008</v>
      </c>
      <c r="I311" s="8">
        <f>CHOOSE( CONTROL!$C$29, 7.1228, 7.1188) * CHOOSE(CONTROL!$C$12, $D$11, 100%, $F$11)</f>
        <v>7.1227999999999998</v>
      </c>
      <c r="J311" s="4">
        <f>CHOOSE( CONTROL!$C$29, 7.0352, 7.0311) * CHOOSE(CONTROL!$C$12, $D$11, 100%, $F$11)</f>
        <v>7.0351999999999997</v>
      </c>
      <c r="K311" s="4"/>
      <c r="L311" s="9">
        <v>29.520499999999998</v>
      </c>
      <c r="M311" s="9">
        <v>12.063700000000001</v>
      </c>
      <c r="N311" s="9">
        <v>4.9444999999999997</v>
      </c>
      <c r="O311" s="9">
        <v>0.37459999999999999</v>
      </c>
      <c r="P311" s="9">
        <v>1.2192000000000001</v>
      </c>
      <c r="Q311" s="9">
        <v>30.3217</v>
      </c>
      <c r="R311" s="9"/>
      <c r="S311" s="11"/>
    </row>
    <row r="312" spans="1:19" ht="15.75">
      <c r="A312" s="13">
        <v>51379</v>
      </c>
      <c r="B312" s="8">
        <f>CHOOSE( CONTROL!$C$29, 6.7806, 6.7764) * CHOOSE(CONTROL!$C$12, $D$11, 100%, $F$11)</f>
        <v>6.7805999999999997</v>
      </c>
      <c r="C312" s="8">
        <f>CHOOSE( CONTROL!$C$29, 6.791, 6.7868) * CHOOSE(CONTROL!$C$12, $D$11, 100%, $F$11)</f>
        <v>6.7910000000000004</v>
      </c>
      <c r="D312" s="8">
        <f>CHOOSE( CONTROL!$C$29, 6.8136, 6.8094) * CHOOSE( CONTROL!$C$12, $D$11, 100%, $F$11)</f>
        <v>6.8136000000000001</v>
      </c>
      <c r="E312" s="12">
        <f>CHOOSE( CONTROL!$C$29, 6.8038, 6.7996) * CHOOSE( CONTROL!$C$12, $D$11, 100%, $F$11)</f>
        <v>6.8037999999999998</v>
      </c>
      <c r="F312" s="4">
        <f>CHOOSE( CONTROL!$C$29, 7.8192, 7.8149) * CHOOSE(CONTROL!$C$12, $D$11, 100%, $F$11)</f>
        <v>7.8192000000000004</v>
      </c>
      <c r="G312" s="8">
        <f>CHOOSE( CONTROL!$C$29, 6.6159, 6.6117) * CHOOSE( CONTROL!$C$12, $D$11, 100%, $F$11)</f>
        <v>6.6158999999999999</v>
      </c>
      <c r="H312" s="4">
        <f>CHOOSE( CONTROL!$C$29, 7.5456, 7.5415) * CHOOSE(CONTROL!$C$12, $D$11, 100%, $F$11)</f>
        <v>7.5456000000000003</v>
      </c>
      <c r="I312" s="8">
        <f>CHOOSE( CONTROL!$C$29, 6.5713, 6.5672) * CHOOSE(CONTROL!$C$12, $D$11, 100%, $F$11)</f>
        <v>6.5712999999999999</v>
      </c>
      <c r="J312" s="4">
        <f>CHOOSE( CONTROL!$C$29, 6.4924, 6.4883) * CHOOSE(CONTROL!$C$12, $D$11, 100%, $F$11)</f>
        <v>6.4923999999999999</v>
      </c>
      <c r="K312" s="4"/>
      <c r="L312" s="9">
        <v>29.520499999999998</v>
      </c>
      <c r="M312" s="9">
        <v>12.063700000000001</v>
      </c>
      <c r="N312" s="9">
        <v>4.9444999999999997</v>
      </c>
      <c r="O312" s="9">
        <v>0.37459999999999999</v>
      </c>
      <c r="P312" s="9">
        <v>1.2192000000000001</v>
      </c>
      <c r="Q312" s="9">
        <v>30.3217</v>
      </c>
      <c r="R312" s="9"/>
      <c r="S312" s="11"/>
    </row>
    <row r="313" spans="1:19" ht="15.75">
      <c r="A313" s="13">
        <v>51409</v>
      </c>
      <c r="B313" s="8">
        <f>CHOOSE( CONTROL!$C$29, 6.6388, 6.6345) * CHOOSE(CONTROL!$C$12, $D$11, 100%, $F$11)</f>
        <v>6.6387999999999998</v>
      </c>
      <c r="C313" s="8">
        <f>CHOOSE( CONTROL!$C$29, 6.6492, 6.6449) * CHOOSE(CONTROL!$C$12, $D$11, 100%, $F$11)</f>
        <v>6.6492000000000004</v>
      </c>
      <c r="D313" s="8">
        <f>CHOOSE( CONTROL!$C$29, 6.6718, 6.6675) * CHOOSE( CONTROL!$C$12, $D$11, 100%, $F$11)</f>
        <v>6.6718000000000002</v>
      </c>
      <c r="E313" s="12">
        <f>CHOOSE( CONTROL!$C$29, 6.662, 6.6577) * CHOOSE( CONTROL!$C$12, $D$11, 100%, $F$11)</f>
        <v>6.6619999999999999</v>
      </c>
      <c r="F313" s="4">
        <f>CHOOSE( CONTROL!$C$29, 7.6773, 7.6731) * CHOOSE(CONTROL!$C$12, $D$11, 100%, $F$11)</f>
        <v>7.6772999999999998</v>
      </c>
      <c r="G313" s="8">
        <f>CHOOSE( CONTROL!$C$29, 6.4773, 6.4732) * CHOOSE( CONTROL!$C$12, $D$11, 100%, $F$11)</f>
        <v>6.4772999999999996</v>
      </c>
      <c r="H313" s="4">
        <f>CHOOSE( CONTROL!$C$29, 7.4074, 7.4032) * CHOOSE(CONTROL!$C$12, $D$11, 100%, $F$11)</f>
        <v>7.4074</v>
      </c>
      <c r="I313" s="8">
        <f>CHOOSE( CONTROL!$C$29, 6.4336, 6.4295) * CHOOSE(CONTROL!$C$12, $D$11, 100%, $F$11)</f>
        <v>6.4336000000000002</v>
      </c>
      <c r="J313" s="4">
        <f>CHOOSE( CONTROL!$C$29, 6.3565, 6.3524) * CHOOSE(CONTROL!$C$12, $D$11, 100%, $F$11)</f>
        <v>6.3564999999999996</v>
      </c>
      <c r="K313" s="4"/>
      <c r="L313" s="9">
        <v>28.568200000000001</v>
      </c>
      <c r="M313" s="9">
        <v>11.6745</v>
      </c>
      <c r="N313" s="9">
        <v>4.7850000000000001</v>
      </c>
      <c r="O313" s="9">
        <v>0.36249999999999999</v>
      </c>
      <c r="P313" s="9">
        <v>1.1798</v>
      </c>
      <c r="Q313" s="9">
        <v>29.343599999999999</v>
      </c>
      <c r="R313" s="9"/>
      <c r="S313" s="11"/>
    </row>
    <row r="314" spans="1:19" ht="15.75">
      <c r="A314" s="13">
        <v>51440</v>
      </c>
      <c r="B314" s="8">
        <f>6.929 * CHOOSE(CONTROL!$C$12, $D$11, 100%, $F$11)</f>
        <v>6.9290000000000003</v>
      </c>
      <c r="C314" s="8">
        <f>6.9395 * CHOOSE(CONTROL!$C$12, $D$11, 100%, $F$11)</f>
        <v>6.9394999999999998</v>
      </c>
      <c r="D314" s="8">
        <f>6.9439 * CHOOSE( CONTROL!$C$12, $D$11, 100%, $F$11)</f>
        <v>6.9439000000000002</v>
      </c>
      <c r="E314" s="12">
        <f>6.9413 * CHOOSE( CONTROL!$C$12, $D$11, 100%, $F$11)</f>
        <v>6.9413</v>
      </c>
      <c r="F314" s="4">
        <f>7.9363 * CHOOSE(CONTROL!$C$12, $D$11, 100%, $F$11)</f>
        <v>7.9363000000000001</v>
      </c>
      <c r="G314" s="8">
        <f>6.7505 * CHOOSE( CONTROL!$C$12, $D$11, 100%, $F$11)</f>
        <v>6.7504999999999997</v>
      </c>
      <c r="H314" s="4">
        <f>7.6598 * CHOOSE(CONTROL!$C$12, $D$11, 100%, $F$11)</f>
        <v>7.6597999999999997</v>
      </c>
      <c r="I314" s="8">
        <f>6.7085 * CHOOSE(CONTROL!$C$12, $D$11, 100%, $F$11)</f>
        <v>6.7084999999999999</v>
      </c>
      <c r="J314" s="4">
        <f>6.6346 * CHOOSE(CONTROL!$C$12, $D$11, 100%, $F$11)</f>
        <v>6.6345999999999998</v>
      </c>
      <c r="K314" s="4"/>
      <c r="L314" s="9">
        <v>28.921800000000001</v>
      </c>
      <c r="M314" s="9">
        <v>12.063700000000001</v>
      </c>
      <c r="N314" s="9">
        <v>4.9444999999999997</v>
      </c>
      <c r="O314" s="9">
        <v>0.37459999999999999</v>
      </c>
      <c r="P314" s="9">
        <v>1.2192000000000001</v>
      </c>
      <c r="Q314" s="9">
        <v>30.3217</v>
      </c>
      <c r="R314" s="9"/>
      <c r="S314" s="11"/>
    </row>
    <row r="315" spans="1:19" ht="15.75">
      <c r="A315" s="13">
        <v>51470</v>
      </c>
      <c r="B315" s="8">
        <f>7.4726 * CHOOSE(CONTROL!$C$12, $D$11, 100%, $F$11)</f>
        <v>7.4725999999999999</v>
      </c>
      <c r="C315" s="8">
        <f>7.4831 * CHOOSE(CONTROL!$C$12, $D$11, 100%, $F$11)</f>
        <v>7.4831000000000003</v>
      </c>
      <c r="D315" s="8">
        <f>7.4654 * CHOOSE( CONTROL!$C$12, $D$11, 100%, $F$11)</f>
        <v>7.4653999999999998</v>
      </c>
      <c r="E315" s="12">
        <f>7.4708 * CHOOSE( CONTROL!$C$12, $D$11, 100%, $F$11)</f>
        <v>7.4707999999999997</v>
      </c>
      <c r="F315" s="4">
        <f>8.4668 * CHOOSE(CONTROL!$C$12, $D$11, 100%, $F$11)</f>
        <v>8.4667999999999992</v>
      </c>
      <c r="G315" s="8">
        <f>7.2929 * CHOOSE( CONTROL!$C$12, $D$11, 100%, $F$11)</f>
        <v>7.2929000000000004</v>
      </c>
      <c r="H315" s="4">
        <f>8.177 * CHOOSE(CONTROL!$C$12, $D$11, 100%, $F$11)</f>
        <v>8.1769999999999996</v>
      </c>
      <c r="I315" s="8">
        <f>7.2531 * CHOOSE(CONTROL!$C$12, $D$11, 100%, $F$11)</f>
        <v>7.2530999999999999</v>
      </c>
      <c r="J315" s="4">
        <f>7.1555 * CHOOSE(CONTROL!$C$12, $D$11, 100%, $F$11)</f>
        <v>7.1555</v>
      </c>
      <c r="K315" s="4"/>
      <c r="L315" s="9">
        <v>26.515499999999999</v>
      </c>
      <c r="M315" s="9">
        <v>11.6745</v>
      </c>
      <c r="N315" s="9">
        <v>4.7850000000000001</v>
      </c>
      <c r="O315" s="9">
        <v>0.36249999999999999</v>
      </c>
      <c r="P315" s="9">
        <v>1.2522</v>
      </c>
      <c r="Q315" s="9">
        <v>29.343599999999999</v>
      </c>
      <c r="R315" s="9"/>
      <c r="S315" s="11"/>
    </row>
    <row r="316" spans="1:19" ht="15.75">
      <c r="A316" s="13">
        <v>51501</v>
      </c>
      <c r="B316" s="8">
        <f>7.459 * CHOOSE(CONTROL!$C$12, $D$11, 100%, $F$11)</f>
        <v>7.4589999999999996</v>
      </c>
      <c r="C316" s="8">
        <f>7.4695 * CHOOSE(CONTROL!$C$12, $D$11, 100%, $F$11)</f>
        <v>7.4695</v>
      </c>
      <c r="D316" s="8">
        <f>7.4539 * CHOOSE( CONTROL!$C$12, $D$11, 100%, $F$11)</f>
        <v>7.4539</v>
      </c>
      <c r="E316" s="12">
        <f>7.4585 * CHOOSE( CONTROL!$C$12, $D$11, 100%, $F$11)</f>
        <v>7.4584999999999999</v>
      </c>
      <c r="F316" s="4">
        <f>8.4532 * CHOOSE(CONTROL!$C$12, $D$11, 100%, $F$11)</f>
        <v>8.4532000000000007</v>
      </c>
      <c r="G316" s="8">
        <f>7.2812 * CHOOSE( CONTROL!$C$12, $D$11, 100%, $F$11)</f>
        <v>7.2812000000000001</v>
      </c>
      <c r="H316" s="4">
        <f>8.1637 * CHOOSE(CONTROL!$C$12, $D$11, 100%, $F$11)</f>
        <v>8.1637000000000004</v>
      </c>
      <c r="I316" s="8">
        <f>7.2473 * CHOOSE(CONTROL!$C$12, $D$11, 100%, $F$11)</f>
        <v>7.2473000000000001</v>
      </c>
      <c r="J316" s="4">
        <f>7.1425 * CHOOSE(CONTROL!$C$12, $D$11, 100%, $F$11)</f>
        <v>7.1425000000000001</v>
      </c>
      <c r="K316" s="4"/>
      <c r="L316" s="9">
        <v>27.3993</v>
      </c>
      <c r="M316" s="9">
        <v>12.063700000000001</v>
      </c>
      <c r="N316" s="9">
        <v>4.9444999999999997</v>
      </c>
      <c r="O316" s="9">
        <v>0.37459999999999999</v>
      </c>
      <c r="P316" s="9">
        <v>1.2939000000000001</v>
      </c>
      <c r="Q316" s="9">
        <v>30.3217</v>
      </c>
      <c r="R316" s="9"/>
      <c r="S316" s="11"/>
    </row>
    <row r="317" spans="1:19" ht="15.75">
      <c r="A317" s="13">
        <v>51532</v>
      </c>
      <c r="B317" s="8">
        <f>7.7439 * CHOOSE(CONTROL!$C$12, $D$11, 100%, $F$11)</f>
        <v>7.7439</v>
      </c>
      <c r="C317" s="8">
        <f>7.7544 * CHOOSE(CONTROL!$C$12, $D$11, 100%, $F$11)</f>
        <v>7.7544000000000004</v>
      </c>
      <c r="D317" s="8">
        <f>7.752 * CHOOSE( CONTROL!$C$12, $D$11, 100%, $F$11)</f>
        <v>7.7519999999999998</v>
      </c>
      <c r="E317" s="12">
        <f>7.7518 * CHOOSE( CONTROL!$C$12, $D$11, 100%, $F$11)</f>
        <v>7.7518000000000002</v>
      </c>
      <c r="F317" s="4">
        <f>8.7668 * CHOOSE(CONTROL!$C$12, $D$11, 100%, $F$11)</f>
        <v>8.7667999999999999</v>
      </c>
      <c r="G317" s="8">
        <f>7.5761 * CHOOSE( CONTROL!$C$12, $D$11, 100%, $F$11)</f>
        <v>7.5761000000000003</v>
      </c>
      <c r="H317" s="4">
        <f>8.4694 * CHOOSE(CONTROL!$C$12, $D$11, 100%, $F$11)</f>
        <v>8.4694000000000003</v>
      </c>
      <c r="I317" s="8">
        <f>7.5278 * CHOOSE(CONTROL!$C$12, $D$11, 100%, $F$11)</f>
        <v>7.5278</v>
      </c>
      <c r="J317" s="4">
        <f>7.4155 * CHOOSE(CONTROL!$C$12, $D$11, 100%, $F$11)</f>
        <v>7.4154999999999998</v>
      </c>
      <c r="K317" s="4"/>
      <c r="L317" s="9">
        <v>27.3993</v>
      </c>
      <c r="M317" s="9">
        <v>12.063700000000001</v>
      </c>
      <c r="N317" s="9">
        <v>4.9444999999999997</v>
      </c>
      <c r="O317" s="9">
        <v>0.37459999999999999</v>
      </c>
      <c r="P317" s="9">
        <v>1.2939000000000001</v>
      </c>
      <c r="Q317" s="9">
        <v>30.258500000000002</v>
      </c>
      <c r="R317" s="9"/>
      <c r="S317" s="11"/>
    </row>
    <row r="318" spans="1:19" ht="15.75">
      <c r="A318" s="13">
        <v>51560</v>
      </c>
      <c r="B318" s="8">
        <f>7.2436 * CHOOSE(CONTROL!$C$12, $D$11, 100%, $F$11)</f>
        <v>7.2435999999999998</v>
      </c>
      <c r="C318" s="8">
        <f>7.2541 * CHOOSE(CONTROL!$C$12, $D$11, 100%, $F$11)</f>
        <v>7.2541000000000002</v>
      </c>
      <c r="D318" s="8">
        <f>7.254 * CHOOSE( CONTROL!$C$12, $D$11, 100%, $F$11)</f>
        <v>7.2539999999999996</v>
      </c>
      <c r="E318" s="12">
        <f>7.2529 * CHOOSE( CONTROL!$C$12, $D$11, 100%, $F$11)</f>
        <v>7.2529000000000003</v>
      </c>
      <c r="F318" s="4">
        <f>8.2587 * CHOOSE(CONTROL!$C$12, $D$11, 100%, $F$11)</f>
        <v>8.2586999999999993</v>
      </c>
      <c r="G318" s="8">
        <f>7.0882 * CHOOSE( CONTROL!$C$12, $D$11, 100%, $F$11)</f>
        <v>7.0881999999999996</v>
      </c>
      <c r="H318" s="4">
        <f>7.9741 * CHOOSE(CONTROL!$C$12, $D$11, 100%, $F$11)</f>
        <v>7.9741</v>
      </c>
      <c r="I318" s="8">
        <f>7.0372 * CHOOSE(CONTROL!$C$12, $D$11, 100%, $F$11)</f>
        <v>7.0372000000000003</v>
      </c>
      <c r="J318" s="4">
        <f>6.9361 * CHOOSE(CONTROL!$C$12, $D$11, 100%, $F$11)</f>
        <v>6.9360999999999997</v>
      </c>
      <c r="K318" s="4"/>
      <c r="L318" s="9">
        <v>24.747800000000002</v>
      </c>
      <c r="M318" s="9">
        <v>10.8962</v>
      </c>
      <c r="N318" s="9">
        <v>4.4660000000000002</v>
      </c>
      <c r="O318" s="9">
        <v>0.33829999999999999</v>
      </c>
      <c r="P318" s="9">
        <v>1.1687000000000001</v>
      </c>
      <c r="Q318" s="9">
        <v>27.330200000000001</v>
      </c>
      <c r="R318" s="9"/>
      <c r="S318" s="11"/>
    </row>
    <row r="319" spans="1:19" ht="15.75">
      <c r="A319" s="13">
        <v>51591</v>
      </c>
      <c r="B319" s="8">
        <f>7.0895 * CHOOSE(CONTROL!$C$12, $D$11, 100%, $F$11)</f>
        <v>7.0895000000000001</v>
      </c>
      <c r="C319" s="8">
        <f>7.1 * CHOOSE(CONTROL!$C$12, $D$11, 100%, $F$11)</f>
        <v>7.1</v>
      </c>
      <c r="D319" s="8">
        <f>7.0798 * CHOOSE( CONTROL!$C$12, $D$11, 100%, $F$11)</f>
        <v>7.0797999999999996</v>
      </c>
      <c r="E319" s="12">
        <f>7.0861 * CHOOSE( CONTROL!$C$12, $D$11, 100%, $F$11)</f>
        <v>7.0861000000000001</v>
      </c>
      <c r="F319" s="4">
        <f>8.0884 * CHOOSE(CONTROL!$C$12, $D$11, 100%, $F$11)</f>
        <v>8.0884</v>
      </c>
      <c r="G319" s="8">
        <f>6.9175 * CHOOSE( CONTROL!$C$12, $D$11, 100%, $F$11)</f>
        <v>6.9175000000000004</v>
      </c>
      <c r="H319" s="4">
        <f>7.8081 * CHOOSE(CONTROL!$C$12, $D$11, 100%, $F$11)</f>
        <v>7.8080999999999996</v>
      </c>
      <c r="I319" s="8">
        <f>6.85 * CHOOSE(CONTROL!$C$12, $D$11, 100%, $F$11)</f>
        <v>6.85</v>
      </c>
      <c r="J319" s="4">
        <f>6.7884 * CHOOSE(CONTROL!$C$12, $D$11, 100%, $F$11)</f>
        <v>6.7884000000000002</v>
      </c>
      <c r="K319" s="4"/>
      <c r="L319" s="9">
        <v>27.3993</v>
      </c>
      <c r="M319" s="9">
        <v>12.063700000000001</v>
      </c>
      <c r="N319" s="9">
        <v>4.9444999999999997</v>
      </c>
      <c r="O319" s="9">
        <v>0.37459999999999999</v>
      </c>
      <c r="P319" s="9">
        <v>1.2939000000000001</v>
      </c>
      <c r="Q319" s="9">
        <v>30.258500000000002</v>
      </c>
      <c r="R319" s="9"/>
      <c r="S319" s="11"/>
    </row>
    <row r="320" spans="1:19" ht="15.75">
      <c r="A320" s="13">
        <v>51621</v>
      </c>
      <c r="B320" s="8">
        <f>7.1972 * CHOOSE(CONTROL!$C$12, $D$11, 100%, $F$11)</f>
        <v>7.1971999999999996</v>
      </c>
      <c r="C320" s="8">
        <f>7.2076 * CHOOSE(CONTROL!$C$12, $D$11, 100%, $F$11)</f>
        <v>7.2076000000000002</v>
      </c>
      <c r="D320" s="8">
        <f>7.2108 * CHOOSE( CONTROL!$C$12, $D$11, 100%, $F$11)</f>
        <v>7.2107999999999999</v>
      </c>
      <c r="E320" s="12">
        <f>7.2086 * CHOOSE( CONTROL!$C$12, $D$11, 100%, $F$11)</f>
        <v>7.2085999999999997</v>
      </c>
      <c r="F320" s="4">
        <f>8.2045 * CHOOSE(CONTROL!$C$12, $D$11, 100%, $F$11)</f>
        <v>8.2044999999999995</v>
      </c>
      <c r="G320" s="8">
        <f>7.0104 * CHOOSE( CONTROL!$C$12, $D$11, 100%, $F$11)</f>
        <v>7.0103999999999997</v>
      </c>
      <c r="H320" s="4">
        <f>7.9212 * CHOOSE(CONTROL!$C$12, $D$11, 100%, $F$11)</f>
        <v>7.9211999999999998</v>
      </c>
      <c r="I320" s="8">
        <f>6.9433 * CHOOSE(CONTROL!$C$12, $D$11, 100%, $F$11)</f>
        <v>6.9432999999999998</v>
      </c>
      <c r="J320" s="4">
        <f>6.8916 * CHOOSE(CONTROL!$C$12, $D$11, 100%, $F$11)</f>
        <v>6.8916000000000004</v>
      </c>
      <c r="K320" s="4"/>
      <c r="L320" s="9">
        <v>27.988800000000001</v>
      </c>
      <c r="M320" s="9">
        <v>11.6745</v>
      </c>
      <c r="N320" s="9">
        <v>4.7850000000000001</v>
      </c>
      <c r="O320" s="9">
        <v>0.36249999999999999</v>
      </c>
      <c r="P320" s="9">
        <v>1.1798</v>
      </c>
      <c r="Q320" s="9">
        <v>29.282399999999999</v>
      </c>
      <c r="R320" s="9"/>
      <c r="S320" s="11"/>
    </row>
    <row r="321" spans="1:19" ht="15.75">
      <c r="A321" s="13">
        <v>51652</v>
      </c>
      <c r="B321" s="8">
        <f>CHOOSE( CONTROL!$C$29, 7.3931, 7.3888) * CHOOSE(CONTROL!$C$12, $D$11, 100%, $F$11)</f>
        <v>7.3930999999999996</v>
      </c>
      <c r="C321" s="8">
        <f>CHOOSE( CONTROL!$C$29, 7.4035, 7.3993) * CHOOSE(CONTROL!$C$12, $D$11, 100%, $F$11)</f>
        <v>7.4035000000000002</v>
      </c>
      <c r="D321" s="8">
        <f>CHOOSE( CONTROL!$C$29, 7.3814, 7.3772) * CHOOSE( CONTROL!$C$12, $D$11, 100%, $F$11)</f>
        <v>7.3814000000000002</v>
      </c>
      <c r="E321" s="12">
        <f>CHOOSE( CONTROL!$C$29, 7.3878, 7.3836) * CHOOSE( CONTROL!$C$12, $D$11, 100%, $F$11)</f>
        <v>7.3878000000000004</v>
      </c>
      <c r="F321" s="4">
        <f>CHOOSE( CONTROL!$C$29, 8.368, 8.3637) * CHOOSE(CONTROL!$C$12, $D$11, 100%, $F$11)</f>
        <v>8.3680000000000003</v>
      </c>
      <c r="G321" s="8">
        <f>CHOOSE( CONTROL!$C$29, 7.1825, 7.1784) * CHOOSE( CONTROL!$C$12, $D$11, 100%, $F$11)</f>
        <v>7.1825000000000001</v>
      </c>
      <c r="H321" s="4">
        <f>CHOOSE( CONTROL!$C$29, 8.0806, 8.0765) * CHOOSE(CONTROL!$C$12, $D$11, 100%, $F$11)</f>
        <v>8.0806000000000004</v>
      </c>
      <c r="I321" s="8">
        <f>CHOOSE( CONTROL!$C$29, 7.1095, 7.1055) * CHOOSE(CONTROL!$C$12, $D$11, 100%, $F$11)</f>
        <v>7.1094999999999997</v>
      </c>
      <c r="J321" s="4">
        <f>CHOOSE( CONTROL!$C$29, 7.0793, 7.0752) * CHOOSE(CONTROL!$C$12, $D$11, 100%, $F$11)</f>
        <v>7.0792999999999999</v>
      </c>
      <c r="K321" s="4"/>
      <c r="L321" s="9">
        <v>29.520499999999998</v>
      </c>
      <c r="M321" s="9">
        <v>12.063700000000001</v>
      </c>
      <c r="N321" s="9">
        <v>4.9444999999999997</v>
      </c>
      <c r="O321" s="9">
        <v>0.37459999999999999</v>
      </c>
      <c r="P321" s="9">
        <v>1.2192000000000001</v>
      </c>
      <c r="Q321" s="9">
        <v>30.258500000000002</v>
      </c>
      <c r="R321" s="9"/>
      <c r="S321" s="11"/>
    </row>
    <row r="322" spans="1:19" ht="15.75">
      <c r="A322" s="13">
        <v>51682</v>
      </c>
      <c r="B322" s="8">
        <f>CHOOSE( CONTROL!$C$29, 7.2744, 7.2701) * CHOOSE(CONTROL!$C$12, $D$11, 100%, $F$11)</f>
        <v>7.2744</v>
      </c>
      <c r="C322" s="8">
        <f>CHOOSE( CONTROL!$C$29, 7.2848, 7.2806) * CHOOSE(CONTROL!$C$12, $D$11, 100%, $F$11)</f>
        <v>7.2847999999999997</v>
      </c>
      <c r="D322" s="8">
        <f>CHOOSE( CONTROL!$C$29, 7.2571, 7.2529) * CHOOSE( CONTROL!$C$12, $D$11, 100%, $F$11)</f>
        <v>7.2571000000000003</v>
      </c>
      <c r="E322" s="12">
        <f>CHOOSE( CONTROL!$C$29, 7.2656, 7.2613) * CHOOSE( CONTROL!$C$12, $D$11, 100%, $F$11)</f>
        <v>7.2656000000000001</v>
      </c>
      <c r="F322" s="4">
        <f>CHOOSE( CONTROL!$C$29, 8.2388, 8.2346) * CHOOSE(CONTROL!$C$12, $D$11, 100%, $F$11)</f>
        <v>8.2387999999999995</v>
      </c>
      <c r="G322" s="8">
        <f>CHOOSE( CONTROL!$C$29, 7.0655, 7.0614) * CHOOSE( CONTROL!$C$12, $D$11, 100%, $F$11)</f>
        <v>7.0655000000000001</v>
      </c>
      <c r="H322" s="4">
        <f>CHOOSE( CONTROL!$C$29, 7.9547, 7.9506) * CHOOSE(CONTROL!$C$12, $D$11, 100%, $F$11)</f>
        <v>7.9546999999999999</v>
      </c>
      <c r="I322" s="8">
        <f>CHOOSE( CONTROL!$C$29, 6.9979, 6.9938) * CHOOSE(CONTROL!$C$12, $D$11, 100%, $F$11)</f>
        <v>6.9978999999999996</v>
      </c>
      <c r="J322" s="4">
        <f>CHOOSE( CONTROL!$C$29, 6.9655, 6.9615) * CHOOSE(CONTROL!$C$12, $D$11, 100%, $F$11)</f>
        <v>6.9654999999999996</v>
      </c>
      <c r="K322" s="4"/>
      <c r="L322" s="9">
        <v>28.568200000000001</v>
      </c>
      <c r="M322" s="9">
        <v>11.6745</v>
      </c>
      <c r="N322" s="9">
        <v>4.7850000000000001</v>
      </c>
      <c r="O322" s="9">
        <v>0.36249999999999999</v>
      </c>
      <c r="P322" s="9">
        <v>1.1798</v>
      </c>
      <c r="Q322" s="9">
        <v>29.282399999999999</v>
      </c>
      <c r="R322" s="9"/>
      <c r="S322" s="11"/>
    </row>
    <row r="323" spans="1:19" ht="15.75">
      <c r="A323" s="13">
        <v>51713</v>
      </c>
      <c r="B323" s="8">
        <f>CHOOSE( CONTROL!$C$29, 7.587, 7.5827) * CHOOSE(CONTROL!$C$12, $D$11, 100%, $F$11)</f>
        <v>7.5869999999999997</v>
      </c>
      <c r="C323" s="8">
        <f>CHOOSE( CONTROL!$C$29, 7.5974, 7.5932) * CHOOSE(CONTROL!$C$12, $D$11, 100%, $F$11)</f>
        <v>7.5974000000000004</v>
      </c>
      <c r="D323" s="8">
        <f>CHOOSE( CONTROL!$C$29, 7.6036, 7.5993) * CHOOSE( CONTROL!$C$12, $D$11, 100%, $F$11)</f>
        <v>7.6036000000000001</v>
      </c>
      <c r="E323" s="12">
        <f>CHOOSE( CONTROL!$C$29, 7.5998, 7.5955) * CHOOSE( CONTROL!$C$12, $D$11, 100%, $F$11)</f>
        <v>7.5998000000000001</v>
      </c>
      <c r="F323" s="4">
        <f>CHOOSE( CONTROL!$C$29, 8.5969, 8.5926) * CHOOSE(CONTROL!$C$12, $D$11, 100%, $F$11)</f>
        <v>8.5968999999999998</v>
      </c>
      <c r="G323" s="8">
        <f>CHOOSE( CONTROL!$C$29, 7.3963, 7.3922) * CHOOSE( CONTROL!$C$12, $D$11, 100%, $F$11)</f>
        <v>7.3963000000000001</v>
      </c>
      <c r="H323" s="4">
        <f>CHOOSE( CONTROL!$C$29, 8.3037, 8.2996) * CHOOSE(CONTROL!$C$12, $D$11, 100%, $F$11)</f>
        <v>8.3036999999999992</v>
      </c>
      <c r="I323" s="8">
        <f>CHOOSE( CONTROL!$C$29, 7.3529, 7.3488) * CHOOSE(CONTROL!$C$12, $D$11, 100%, $F$11)</f>
        <v>7.3529</v>
      </c>
      <c r="J323" s="4">
        <f>CHOOSE( CONTROL!$C$29, 7.2651, 7.261) * CHOOSE(CONTROL!$C$12, $D$11, 100%, $F$11)</f>
        <v>7.2651000000000003</v>
      </c>
      <c r="K323" s="4"/>
      <c r="L323" s="9">
        <v>29.520499999999998</v>
      </c>
      <c r="M323" s="9">
        <v>12.063700000000001</v>
      </c>
      <c r="N323" s="9">
        <v>4.9444999999999997</v>
      </c>
      <c r="O323" s="9">
        <v>0.37459999999999999</v>
      </c>
      <c r="P323" s="9">
        <v>1.2192000000000001</v>
      </c>
      <c r="Q323" s="9">
        <v>30.258500000000002</v>
      </c>
      <c r="R323" s="9"/>
      <c r="S323" s="11"/>
    </row>
    <row r="324" spans="1:19" ht="15.75">
      <c r="A324" s="13">
        <v>51744</v>
      </c>
      <c r="B324" s="8">
        <f>CHOOSE( CONTROL!$C$29, 7.002, 6.9978) * CHOOSE(CONTROL!$C$12, $D$11, 100%, $F$11)</f>
        <v>7.0019999999999998</v>
      </c>
      <c r="C324" s="8">
        <f>CHOOSE( CONTROL!$C$29, 7.0125, 7.0082) * CHOOSE(CONTROL!$C$12, $D$11, 100%, $F$11)</f>
        <v>7.0125000000000002</v>
      </c>
      <c r="D324" s="8">
        <f>CHOOSE( CONTROL!$C$29, 7.0351, 7.0308) * CHOOSE( CONTROL!$C$12, $D$11, 100%, $F$11)</f>
        <v>7.0350999999999999</v>
      </c>
      <c r="E324" s="12">
        <f>CHOOSE( CONTROL!$C$29, 7.0253, 7.021) * CHOOSE( CONTROL!$C$12, $D$11, 100%, $F$11)</f>
        <v>7.0252999999999997</v>
      </c>
      <c r="F324" s="4">
        <f>CHOOSE( CONTROL!$C$29, 8.0406, 8.0364) * CHOOSE(CONTROL!$C$12, $D$11, 100%, $F$11)</f>
        <v>8.0405999999999995</v>
      </c>
      <c r="G324" s="8">
        <f>CHOOSE( CONTROL!$C$29, 6.8317, 6.8276) * CHOOSE( CONTROL!$C$12, $D$11, 100%, $F$11)</f>
        <v>6.8316999999999997</v>
      </c>
      <c r="H324" s="4">
        <f>CHOOSE( CONTROL!$C$29, 7.7615, 7.7574) * CHOOSE(CONTROL!$C$12, $D$11, 100%, $F$11)</f>
        <v>7.7614999999999998</v>
      </c>
      <c r="I324" s="8">
        <f>CHOOSE( CONTROL!$C$29, 6.7836, 6.7795) * CHOOSE(CONTROL!$C$12, $D$11, 100%, $F$11)</f>
        <v>6.7835999999999999</v>
      </c>
      <c r="J324" s="4">
        <f>CHOOSE( CONTROL!$C$29, 6.7046, 6.7005) * CHOOSE(CONTROL!$C$12, $D$11, 100%, $F$11)</f>
        <v>6.7046000000000001</v>
      </c>
      <c r="K324" s="4"/>
      <c r="L324" s="9">
        <v>29.520499999999998</v>
      </c>
      <c r="M324" s="9">
        <v>12.063700000000001</v>
      </c>
      <c r="N324" s="9">
        <v>4.9444999999999997</v>
      </c>
      <c r="O324" s="9">
        <v>0.37459999999999999</v>
      </c>
      <c r="P324" s="9">
        <v>1.2192000000000001</v>
      </c>
      <c r="Q324" s="9">
        <v>30.258500000000002</v>
      </c>
      <c r="R324" s="9"/>
      <c r="S324" s="11"/>
    </row>
    <row r="325" spans="1:19" ht="15.75">
      <c r="A325" s="13">
        <v>51774</v>
      </c>
      <c r="B325" s="8">
        <f>CHOOSE( CONTROL!$C$29, 6.8556, 6.8513) * CHOOSE(CONTROL!$C$12, $D$11, 100%, $F$11)</f>
        <v>6.8555999999999999</v>
      </c>
      <c r="C325" s="8">
        <f>CHOOSE( CONTROL!$C$29, 6.866, 6.8618) * CHOOSE(CONTROL!$C$12, $D$11, 100%, $F$11)</f>
        <v>6.8659999999999997</v>
      </c>
      <c r="D325" s="8">
        <f>CHOOSE( CONTROL!$C$29, 6.8886, 6.8843) * CHOOSE( CONTROL!$C$12, $D$11, 100%, $F$11)</f>
        <v>6.8886000000000003</v>
      </c>
      <c r="E325" s="12">
        <f>CHOOSE( CONTROL!$C$29, 6.8788, 6.8745) * CHOOSE( CONTROL!$C$12, $D$11, 100%, $F$11)</f>
        <v>6.8788</v>
      </c>
      <c r="F325" s="4">
        <f>CHOOSE( CONTROL!$C$29, 7.8941, 7.8899) * CHOOSE(CONTROL!$C$12, $D$11, 100%, $F$11)</f>
        <v>7.8940999999999999</v>
      </c>
      <c r="G325" s="8">
        <f>CHOOSE( CONTROL!$C$29, 6.6886, 6.6845) * CHOOSE( CONTROL!$C$12, $D$11, 100%, $F$11)</f>
        <v>6.6886000000000001</v>
      </c>
      <c r="H325" s="4">
        <f>CHOOSE( CONTROL!$C$29, 7.6187, 7.6146) * CHOOSE(CONTROL!$C$12, $D$11, 100%, $F$11)</f>
        <v>7.6186999999999996</v>
      </c>
      <c r="I325" s="8">
        <f>CHOOSE( CONTROL!$C$29, 6.6414, 6.6374) * CHOOSE(CONTROL!$C$12, $D$11, 100%, $F$11)</f>
        <v>6.6414</v>
      </c>
      <c r="J325" s="4">
        <f>CHOOSE( CONTROL!$C$29, 6.5642, 6.5602) * CHOOSE(CONTROL!$C$12, $D$11, 100%, $F$11)</f>
        <v>6.5641999999999996</v>
      </c>
      <c r="K325" s="4"/>
      <c r="L325" s="9">
        <v>28.568200000000001</v>
      </c>
      <c r="M325" s="9">
        <v>11.6745</v>
      </c>
      <c r="N325" s="9">
        <v>4.7850000000000001</v>
      </c>
      <c r="O325" s="9">
        <v>0.36249999999999999</v>
      </c>
      <c r="P325" s="9">
        <v>1.1798</v>
      </c>
      <c r="Q325" s="9">
        <v>29.282399999999999</v>
      </c>
      <c r="R325" s="9"/>
      <c r="S325" s="11"/>
    </row>
    <row r="326" spans="1:19" ht="15.75">
      <c r="A326" s="13">
        <v>51805</v>
      </c>
      <c r="B326" s="8">
        <f>7.1555 * CHOOSE(CONTROL!$C$12, $D$11, 100%, $F$11)</f>
        <v>7.1555</v>
      </c>
      <c r="C326" s="8">
        <f>7.1659 * CHOOSE(CONTROL!$C$12, $D$11, 100%, $F$11)</f>
        <v>7.1658999999999997</v>
      </c>
      <c r="D326" s="8">
        <f>7.1703 * CHOOSE( CONTROL!$C$12, $D$11, 100%, $F$11)</f>
        <v>7.1703000000000001</v>
      </c>
      <c r="E326" s="12">
        <f>7.1677 * CHOOSE( CONTROL!$C$12, $D$11, 100%, $F$11)</f>
        <v>7.1677</v>
      </c>
      <c r="F326" s="4">
        <f>8.1627 * CHOOSE(CONTROL!$C$12, $D$11, 100%, $F$11)</f>
        <v>8.1626999999999992</v>
      </c>
      <c r="G326" s="8">
        <f>6.9713 * CHOOSE( CONTROL!$C$12, $D$11, 100%, $F$11)</f>
        <v>6.9713000000000003</v>
      </c>
      <c r="H326" s="4">
        <f>7.8805 * CHOOSE(CONTROL!$C$12, $D$11, 100%, $F$11)</f>
        <v>7.8804999999999996</v>
      </c>
      <c r="I326" s="8">
        <f>6.9256 * CHOOSE(CONTROL!$C$12, $D$11, 100%, $F$11)</f>
        <v>6.9256000000000002</v>
      </c>
      <c r="J326" s="4">
        <f>6.8516 * CHOOSE(CONTROL!$C$12, $D$11, 100%, $F$11)</f>
        <v>6.8516000000000004</v>
      </c>
      <c r="K326" s="4"/>
      <c r="L326" s="9">
        <v>28.921800000000001</v>
      </c>
      <c r="M326" s="9">
        <v>12.063700000000001</v>
      </c>
      <c r="N326" s="9">
        <v>4.9444999999999997</v>
      </c>
      <c r="O326" s="9">
        <v>0.37459999999999999</v>
      </c>
      <c r="P326" s="9">
        <v>1.2192000000000001</v>
      </c>
      <c r="Q326" s="9">
        <v>30.258500000000002</v>
      </c>
      <c r="R326" s="9"/>
      <c r="S326" s="11"/>
    </row>
    <row r="327" spans="1:19" ht="15.75">
      <c r="A327" s="13">
        <v>51835</v>
      </c>
      <c r="B327" s="8">
        <f>7.7168 * CHOOSE(CONTROL!$C$12, $D$11, 100%, $F$11)</f>
        <v>7.7168000000000001</v>
      </c>
      <c r="C327" s="8">
        <f>7.7273 * CHOOSE(CONTROL!$C$12, $D$11, 100%, $F$11)</f>
        <v>7.7272999999999996</v>
      </c>
      <c r="D327" s="8">
        <f>7.7097 * CHOOSE( CONTROL!$C$12, $D$11, 100%, $F$11)</f>
        <v>7.7096999999999998</v>
      </c>
      <c r="E327" s="12">
        <f>7.715 * CHOOSE( CONTROL!$C$12, $D$11, 100%, $F$11)</f>
        <v>7.7149999999999999</v>
      </c>
      <c r="F327" s="4">
        <f>8.711 * CHOOSE(CONTROL!$C$12, $D$11, 100%, $F$11)</f>
        <v>8.7110000000000003</v>
      </c>
      <c r="G327" s="8">
        <f>7.5309 * CHOOSE( CONTROL!$C$12, $D$11, 100%, $F$11)</f>
        <v>7.5308999999999999</v>
      </c>
      <c r="H327" s="4">
        <f>8.415 * CHOOSE(CONTROL!$C$12, $D$11, 100%, $F$11)</f>
        <v>8.4149999999999991</v>
      </c>
      <c r="I327" s="8">
        <f>7.4872 * CHOOSE(CONTROL!$C$12, $D$11, 100%, $F$11)</f>
        <v>7.4871999999999996</v>
      </c>
      <c r="J327" s="4">
        <f>7.3895 * CHOOSE(CONTROL!$C$12, $D$11, 100%, $F$11)</f>
        <v>7.3895</v>
      </c>
      <c r="K327" s="4"/>
      <c r="L327" s="9">
        <v>26.515499999999999</v>
      </c>
      <c r="M327" s="9">
        <v>11.6745</v>
      </c>
      <c r="N327" s="9">
        <v>4.7850000000000001</v>
      </c>
      <c r="O327" s="9">
        <v>0.36249999999999999</v>
      </c>
      <c r="P327" s="9">
        <v>1.2522</v>
      </c>
      <c r="Q327" s="9">
        <v>29.282399999999999</v>
      </c>
      <c r="R327" s="9"/>
      <c r="S327" s="11"/>
    </row>
    <row r="328" spans="1:19" ht="15.75">
      <c r="A328" s="13">
        <v>51866</v>
      </c>
      <c r="B328" s="8">
        <f>7.7028 * CHOOSE(CONTROL!$C$12, $D$11, 100%, $F$11)</f>
        <v>7.7027999999999999</v>
      </c>
      <c r="C328" s="8">
        <f>7.7133 * CHOOSE(CONTROL!$C$12, $D$11, 100%, $F$11)</f>
        <v>7.7133000000000003</v>
      </c>
      <c r="D328" s="8">
        <f>7.6977 * CHOOSE( CONTROL!$C$12, $D$11, 100%, $F$11)</f>
        <v>7.6977000000000002</v>
      </c>
      <c r="E328" s="12">
        <f>7.7023 * CHOOSE( CONTROL!$C$12, $D$11, 100%, $F$11)</f>
        <v>7.7023000000000001</v>
      </c>
      <c r="F328" s="4">
        <f>8.697 * CHOOSE(CONTROL!$C$12, $D$11, 100%, $F$11)</f>
        <v>8.6969999999999992</v>
      </c>
      <c r="G328" s="8">
        <f>7.5188 * CHOOSE( CONTROL!$C$12, $D$11, 100%, $F$11)</f>
        <v>7.5187999999999997</v>
      </c>
      <c r="H328" s="4">
        <f>8.4014 * CHOOSE(CONTROL!$C$12, $D$11, 100%, $F$11)</f>
        <v>8.4014000000000006</v>
      </c>
      <c r="I328" s="8">
        <f>7.481 * CHOOSE(CONTROL!$C$12, $D$11, 100%, $F$11)</f>
        <v>7.4809999999999999</v>
      </c>
      <c r="J328" s="4">
        <f>7.3761 * CHOOSE(CONTROL!$C$12, $D$11, 100%, $F$11)</f>
        <v>7.3761000000000001</v>
      </c>
      <c r="K328" s="4"/>
      <c r="L328" s="9">
        <v>27.3993</v>
      </c>
      <c r="M328" s="9">
        <v>12.063700000000001</v>
      </c>
      <c r="N328" s="9">
        <v>4.9444999999999997</v>
      </c>
      <c r="O328" s="9">
        <v>0.37459999999999999</v>
      </c>
      <c r="P328" s="9">
        <v>1.2939000000000001</v>
      </c>
      <c r="Q328" s="9">
        <v>30.258500000000002</v>
      </c>
      <c r="R328" s="9"/>
      <c r="S328" s="11"/>
    </row>
    <row r="329" spans="1:19" ht="15.75">
      <c r="A329" s="13">
        <v>51897</v>
      </c>
      <c r="B329" s="8">
        <f>7.997 * CHOOSE(CONTROL!$C$12, $D$11, 100%, $F$11)</f>
        <v>7.9969999999999999</v>
      </c>
      <c r="C329" s="8">
        <f>8.0075 * CHOOSE(CONTROL!$C$12, $D$11, 100%, $F$11)</f>
        <v>8.0075000000000003</v>
      </c>
      <c r="D329" s="8">
        <f>8.0051 * CHOOSE( CONTROL!$C$12, $D$11, 100%, $F$11)</f>
        <v>8.0051000000000005</v>
      </c>
      <c r="E329" s="12">
        <f>8.0049 * CHOOSE( CONTROL!$C$12, $D$11, 100%, $F$11)</f>
        <v>8.0048999999999992</v>
      </c>
      <c r="F329" s="4">
        <f>9.0199 * CHOOSE(CONTROL!$C$12, $D$11, 100%, $F$11)</f>
        <v>9.0198999999999998</v>
      </c>
      <c r="G329" s="8">
        <f>7.8228 * CHOOSE( CONTROL!$C$12, $D$11, 100%, $F$11)</f>
        <v>7.8228</v>
      </c>
      <c r="H329" s="4">
        <f>8.7161 * CHOOSE(CONTROL!$C$12, $D$11, 100%, $F$11)</f>
        <v>8.7161000000000008</v>
      </c>
      <c r="I329" s="8">
        <f>7.7704 * CHOOSE(CONTROL!$C$12, $D$11, 100%, $F$11)</f>
        <v>7.7704000000000004</v>
      </c>
      <c r="J329" s="4">
        <f>7.658 * CHOOSE(CONTROL!$C$12, $D$11, 100%, $F$11)</f>
        <v>7.6580000000000004</v>
      </c>
      <c r="K329" s="4"/>
      <c r="L329" s="9">
        <v>27.3993</v>
      </c>
      <c r="M329" s="9">
        <v>12.063700000000001</v>
      </c>
      <c r="N329" s="9">
        <v>4.9444999999999997</v>
      </c>
      <c r="O329" s="9">
        <v>0.37459999999999999</v>
      </c>
      <c r="P329" s="9">
        <v>1.2939000000000001</v>
      </c>
      <c r="Q329" s="9">
        <v>20.593900000000001</v>
      </c>
      <c r="R329" s="9"/>
      <c r="S329" s="11"/>
    </row>
    <row r="330" spans="1:19" ht="15.75">
      <c r="A330" s="13">
        <v>51925</v>
      </c>
      <c r="B330" s="8">
        <f>7.4803 * CHOOSE(CONTROL!$C$12, $D$11, 100%, $F$11)</f>
        <v>7.4802999999999997</v>
      </c>
      <c r="C330" s="8">
        <f>7.4908 * CHOOSE(CONTROL!$C$12, $D$11, 100%, $F$11)</f>
        <v>7.4908000000000001</v>
      </c>
      <c r="D330" s="8">
        <f>7.4907 * CHOOSE( CONTROL!$C$12, $D$11, 100%, $F$11)</f>
        <v>7.4907000000000004</v>
      </c>
      <c r="E330" s="12">
        <f>7.4896 * CHOOSE( CONTROL!$C$12, $D$11, 100%, $F$11)</f>
        <v>7.4896000000000003</v>
      </c>
      <c r="F330" s="4">
        <f>8.4954 * CHOOSE(CONTROL!$C$12, $D$11, 100%, $F$11)</f>
        <v>8.4954000000000001</v>
      </c>
      <c r="G330" s="8">
        <f>7.319 * CHOOSE( CONTROL!$C$12, $D$11, 100%, $F$11)</f>
        <v>7.319</v>
      </c>
      <c r="H330" s="4">
        <f>8.2049 * CHOOSE(CONTROL!$C$12, $D$11, 100%, $F$11)</f>
        <v>8.2049000000000003</v>
      </c>
      <c r="I330" s="8">
        <f>7.2641 * CHOOSE(CONTROL!$C$12, $D$11, 100%, $F$11)</f>
        <v>7.2641</v>
      </c>
      <c r="J330" s="4">
        <f>7.1629 * CHOOSE(CONTROL!$C$12, $D$11, 100%, $F$11)</f>
        <v>7.1628999999999996</v>
      </c>
      <c r="K330" s="4"/>
      <c r="L330" s="9">
        <v>24.747800000000002</v>
      </c>
      <c r="M330" s="9">
        <v>10.8962</v>
      </c>
      <c r="N330" s="9">
        <v>4.4660000000000002</v>
      </c>
      <c r="O330" s="9">
        <v>0.33829999999999999</v>
      </c>
      <c r="P330" s="9">
        <v>1.1687000000000001</v>
      </c>
      <c r="Q330" s="9">
        <v>18.600999999999999</v>
      </c>
      <c r="R330" s="9"/>
      <c r="S330" s="11"/>
    </row>
    <row r="331" spans="1:19" ht="15.75">
      <c r="A331" s="13">
        <v>51956</v>
      </c>
      <c r="B331" s="8">
        <f>7.3212 * CHOOSE(CONTROL!$C$12, $D$11, 100%, $F$11)</f>
        <v>7.3212000000000002</v>
      </c>
      <c r="C331" s="8">
        <f>7.3317 * CHOOSE(CONTROL!$C$12, $D$11, 100%, $F$11)</f>
        <v>7.3316999999999997</v>
      </c>
      <c r="D331" s="8">
        <f>7.3115 * CHOOSE( CONTROL!$C$12, $D$11, 100%, $F$11)</f>
        <v>7.3114999999999997</v>
      </c>
      <c r="E331" s="12">
        <f>7.3178 * CHOOSE( CONTROL!$C$12, $D$11, 100%, $F$11)</f>
        <v>7.3178000000000001</v>
      </c>
      <c r="F331" s="4">
        <f>8.3201 * CHOOSE(CONTROL!$C$12, $D$11, 100%, $F$11)</f>
        <v>8.3201000000000001</v>
      </c>
      <c r="G331" s="8">
        <f>7.1434 * CHOOSE( CONTROL!$C$12, $D$11, 100%, $F$11)</f>
        <v>7.1433999999999997</v>
      </c>
      <c r="H331" s="4">
        <f>8.034 * CHOOSE(CONTROL!$C$12, $D$11, 100%, $F$11)</f>
        <v>8.0340000000000007</v>
      </c>
      <c r="I331" s="8">
        <f>7.0721 * CHOOSE(CONTROL!$C$12, $D$11, 100%, $F$11)</f>
        <v>7.0720999999999998</v>
      </c>
      <c r="J331" s="4">
        <f>7.0104 * CHOOSE(CONTROL!$C$12, $D$11, 100%, $F$11)</f>
        <v>7.0103999999999997</v>
      </c>
      <c r="K331" s="4"/>
      <c r="L331" s="9">
        <v>27.3993</v>
      </c>
      <c r="M331" s="9">
        <v>12.063700000000001</v>
      </c>
      <c r="N331" s="9">
        <v>4.9444999999999997</v>
      </c>
      <c r="O331" s="9">
        <v>0.37459999999999999</v>
      </c>
      <c r="P331" s="9">
        <v>1.2939000000000001</v>
      </c>
      <c r="Q331" s="9">
        <v>20.593900000000001</v>
      </c>
      <c r="R331" s="9"/>
      <c r="S331" s="11"/>
    </row>
    <row r="332" spans="1:19" ht="15.75">
      <c r="A332" s="13">
        <v>51986</v>
      </c>
      <c r="B332" s="8">
        <f>7.4324 * CHOOSE(CONTROL!$C$12, $D$11, 100%, $F$11)</f>
        <v>7.4324000000000003</v>
      </c>
      <c r="C332" s="8">
        <f>7.4429 * CHOOSE(CONTROL!$C$12, $D$11, 100%, $F$11)</f>
        <v>7.4428999999999998</v>
      </c>
      <c r="D332" s="8">
        <f>7.4461 * CHOOSE( CONTROL!$C$12, $D$11, 100%, $F$11)</f>
        <v>7.4461000000000004</v>
      </c>
      <c r="E332" s="12">
        <f>7.4438 * CHOOSE( CONTROL!$C$12, $D$11, 100%, $F$11)</f>
        <v>7.4438000000000004</v>
      </c>
      <c r="F332" s="4">
        <f>8.4397 * CHOOSE(CONTROL!$C$12, $D$11, 100%, $F$11)</f>
        <v>8.4397000000000002</v>
      </c>
      <c r="G332" s="8">
        <f>7.2396 * CHOOSE( CONTROL!$C$12, $D$11, 100%, $F$11)</f>
        <v>7.2396000000000003</v>
      </c>
      <c r="H332" s="4">
        <f>8.1505 * CHOOSE(CONTROL!$C$12, $D$11, 100%, $F$11)</f>
        <v>8.1504999999999992</v>
      </c>
      <c r="I332" s="8">
        <f>7.1688 * CHOOSE(CONTROL!$C$12, $D$11, 100%, $F$11)</f>
        <v>7.1688000000000001</v>
      </c>
      <c r="J332" s="4">
        <f>7.117 * CHOOSE(CONTROL!$C$12, $D$11, 100%, $F$11)</f>
        <v>7.117</v>
      </c>
      <c r="K332" s="4"/>
      <c r="L332" s="9">
        <v>27.988800000000001</v>
      </c>
      <c r="M332" s="9">
        <v>11.6745</v>
      </c>
      <c r="N332" s="9">
        <v>4.7850000000000001</v>
      </c>
      <c r="O332" s="9">
        <v>0.36249999999999999</v>
      </c>
      <c r="P332" s="9">
        <v>1.1798</v>
      </c>
      <c r="Q332" s="9">
        <v>19.929600000000001</v>
      </c>
      <c r="R332" s="9"/>
      <c r="S332" s="11"/>
    </row>
    <row r="333" spans="1:19" ht="15.75">
      <c r="A333" s="13">
        <v>52017</v>
      </c>
      <c r="B333" s="8">
        <f>CHOOSE( CONTROL!$C$29, 7.6346, 7.6303) * CHOOSE(CONTROL!$C$12, $D$11, 100%, $F$11)</f>
        <v>7.6345999999999998</v>
      </c>
      <c r="C333" s="8">
        <f>CHOOSE( CONTROL!$C$29, 7.645, 7.6408) * CHOOSE(CONTROL!$C$12, $D$11, 100%, $F$11)</f>
        <v>7.6449999999999996</v>
      </c>
      <c r="D333" s="8">
        <f>CHOOSE( CONTROL!$C$29, 7.6229, 7.6187) * CHOOSE( CONTROL!$C$12, $D$11, 100%, $F$11)</f>
        <v>7.6228999999999996</v>
      </c>
      <c r="E333" s="12">
        <f>CHOOSE( CONTROL!$C$29, 7.6293, 7.6251) * CHOOSE( CONTROL!$C$12, $D$11, 100%, $F$11)</f>
        <v>7.6292999999999997</v>
      </c>
      <c r="F333" s="4">
        <f>CHOOSE( CONTROL!$C$29, 8.6095, 8.6052) * CHOOSE(CONTROL!$C$12, $D$11, 100%, $F$11)</f>
        <v>8.6095000000000006</v>
      </c>
      <c r="G333" s="8">
        <f>CHOOSE( CONTROL!$C$29, 7.4179, 7.4138) * CHOOSE( CONTROL!$C$12, $D$11, 100%, $F$11)</f>
        <v>7.4179000000000004</v>
      </c>
      <c r="H333" s="4">
        <f>CHOOSE( CONTROL!$C$29, 8.316, 8.3119) * CHOOSE(CONTROL!$C$12, $D$11, 100%, $F$11)</f>
        <v>8.3160000000000007</v>
      </c>
      <c r="I333" s="8">
        <f>CHOOSE( CONTROL!$C$29, 7.341, 7.337) * CHOOSE(CONTROL!$C$12, $D$11, 100%, $F$11)</f>
        <v>7.3410000000000002</v>
      </c>
      <c r="J333" s="4">
        <f>CHOOSE( CONTROL!$C$29, 7.3107, 7.3066) * CHOOSE(CONTROL!$C$12, $D$11, 100%, $F$11)</f>
        <v>7.3106999999999998</v>
      </c>
      <c r="K333" s="4"/>
      <c r="L333" s="9">
        <v>29.520499999999998</v>
      </c>
      <c r="M333" s="9">
        <v>12.063700000000001</v>
      </c>
      <c r="N333" s="9">
        <v>4.9444999999999997</v>
      </c>
      <c r="O333" s="9">
        <v>0.37459999999999999</v>
      </c>
      <c r="P333" s="9">
        <v>1.2192000000000001</v>
      </c>
      <c r="Q333" s="9">
        <v>20.593900000000001</v>
      </c>
      <c r="R333" s="9"/>
      <c r="S333" s="11"/>
    </row>
    <row r="334" spans="1:19" ht="15.75">
      <c r="A334" s="13">
        <v>52047</v>
      </c>
      <c r="B334" s="8">
        <f>CHOOSE( CONTROL!$C$29, 7.512, 7.5077) * CHOOSE(CONTROL!$C$12, $D$11, 100%, $F$11)</f>
        <v>7.5119999999999996</v>
      </c>
      <c r="C334" s="8">
        <f>CHOOSE( CONTROL!$C$29, 7.5224, 7.5182) * CHOOSE(CONTROL!$C$12, $D$11, 100%, $F$11)</f>
        <v>7.5224000000000002</v>
      </c>
      <c r="D334" s="8">
        <f>CHOOSE( CONTROL!$C$29, 7.4947, 7.4905) * CHOOSE( CONTROL!$C$12, $D$11, 100%, $F$11)</f>
        <v>7.4946999999999999</v>
      </c>
      <c r="E334" s="12">
        <f>CHOOSE( CONTROL!$C$29, 7.5032, 7.4989) * CHOOSE( CONTROL!$C$12, $D$11, 100%, $F$11)</f>
        <v>7.5031999999999996</v>
      </c>
      <c r="F334" s="4">
        <f>CHOOSE( CONTROL!$C$29, 8.4764, 8.4722) * CHOOSE(CONTROL!$C$12, $D$11, 100%, $F$11)</f>
        <v>8.4763999999999999</v>
      </c>
      <c r="G334" s="8">
        <f>CHOOSE( CONTROL!$C$29, 7.2971, 7.293) * CHOOSE( CONTROL!$C$12, $D$11, 100%, $F$11)</f>
        <v>7.2971000000000004</v>
      </c>
      <c r="H334" s="4">
        <f>CHOOSE( CONTROL!$C$29, 8.1863, 8.1822) * CHOOSE(CONTROL!$C$12, $D$11, 100%, $F$11)</f>
        <v>8.1862999999999992</v>
      </c>
      <c r="I334" s="8">
        <f>CHOOSE( CONTROL!$C$29, 7.2257, 7.2216) * CHOOSE(CONTROL!$C$12, $D$11, 100%, $F$11)</f>
        <v>7.2256999999999998</v>
      </c>
      <c r="J334" s="4">
        <f>CHOOSE( CONTROL!$C$29, 7.1932, 7.1891) * CHOOSE(CONTROL!$C$12, $D$11, 100%, $F$11)</f>
        <v>7.1932</v>
      </c>
      <c r="K334" s="4"/>
      <c r="L334" s="9">
        <v>28.568200000000001</v>
      </c>
      <c r="M334" s="9">
        <v>11.6745</v>
      </c>
      <c r="N334" s="9">
        <v>4.7850000000000001</v>
      </c>
      <c r="O334" s="9">
        <v>0.36249999999999999</v>
      </c>
      <c r="P334" s="9">
        <v>1.1798</v>
      </c>
      <c r="Q334" s="9">
        <v>19.929600000000001</v>
      </c>
      <c r="R334" s="9"/>
      <c r="S334" s="11"/>
    </row>
    <row r="335" spans="1:19" ht="15.75">
      <c r="A335" s="13">
        <v>52078</v>
      </c>
      <c r="B335" s="8">
        <f>CHOOSE( CONTROL!$C$29, 7.8348, 7.8306) * CHOOSE(CONTROL!$C$12, $D$11, 100%, $F$11)</f>
        <v>7.8348000000000004</v>
      </c>
      <c r="C335" s="8">
        <f>CHOOSE( CONTROL!$C$29, 7.8453, 7.841) * CHOOSE(CONTROL!$C$12, $D$11, 100%, $F$11)</f>
        <v>7.8452999999999999</v>
      </c>
      <c r="D335" s="8">
        <f>CHOOSE( CONTROL!$C$29, 7.8514, 7.8471) * CHOOSE( CONTROL!$C$12, $D$11, 100%, $F$11)</f>
        <v>7.8513999999999999</v>
      </c>
      <c r="E335" s="12">
        <f>CHOOSE( CONTROL!$C$29, 7.8476, 7.8433) * CHOOSE( CONTROL!$C$12, $D$11, 100%, $F$11)</f>
        <v>7.8475999999999999</v>
      </c>
      <c r="F335" s="4">
        <f>CHOOSE( CONTROL!$C$29, 8.8447, 8.8404) * CHOOSE(CONTROL!$C$12, $D$11, 100%, $F$11)</f>
        <v>8.8446999999999996</v>
      </c>
      <c r="G335" s="8">
        <f>CHOOSE( CONTROL!$C$29, 7.6379, 7.6338) * CHOOSE( CONTROL!$C$12, $D$11, 100%, $F$11)</f>
        <v>7.6379000000000001</v>
      </c>
      <c r="H335" s="4">
        <f>CHOOSE( CONTROL!$C$29, 8.5453, 8.5412) * CHOOSE(CONTROL!$C$12, $D$11, 100%, $F$11)</f>
        <v>8.5452999999999992</v>
      </c>
      <c r="I335" s="8">
        <f>CHOOSE( CONTROL!$C$29, 7.5905, 7.5864) * CHOOSE(CONTROL!$C$12, $D$11, 100%, $F$11)</f>
        <v>7.5904999999999996</v>
      </c>
      <c r="J335" s="4">
        <f>CHOOSE( CONTROL!$C$29, 7.5026, 7.4985) * CHOOSE(CONTROL!$C$12, $D$11, 100%, $F$11)</f>
        <v>7.5026000000000002</v>
      </c>
      <c r="K335" s="4"/>
      <c r="L335" s="9">
        <v>29.520499999999998</v>
      </c>
      <c r="M335" s="9">
        <v>12.063700000000001</v>
      </c>
      <c r="N335" s="9">
        <v>4.9444999999999997</v>
      </c>
      <c r="O335" s="9">
        <v>0.37459999999999999</v>
      </c>
      <c r="P335" s="9">
        <v>1.2192000000000001</v>
      </c>
      <c r="Q335" s="9">
        <v>20.593900000000001</v>
      </c>
      <c r="R335" s="9"/>
      <c r="S335" s="11"/>
    </row>
    <row r="336" spans="1:19" ht="15.75">
      <c r="A336" s="13">
        <v>52109</v>
      </c>
      <c r="B336" s="8">
        <f>CHOOSE( CONTROL!$C$29, 7.2307, 7.2265) * CHOOSE(CONTROL!$C$12, $D$11, 100%, $F$11)</f>
        <v>7.2306999999999997</v>
      </c>
      <c r="C336" s="8">
        <f>CHOOSE( CONTROL!$C$29, 7.2412, 7.2369) * CHOOSE(CONTROL!$C$12, $D$11, 100%, $F$11)</f>
        <v>7.2412000000000001</v>
      </c>
      <c r="D336" s="8">
        <f>CHOOSE( CONTROL!$C$29, 7.2638, 7.2595) * CHOOSE( CONTROL!$C$12, $D$11, 100%, $F$11)</f>
        <v>7.2637999999999998</v>
      </c>
      <c r="E336" s="12">
        <f>CHOOSE( CONTROL!$C$29, 7.254, 7.2497) * CHOOSE( CONTROL!$C$12, $D$11, 100%, $F$11)</f>
        <v>7.2539999999999996</v>
      </c>
      <c r="F336" s="4">
        <f>CHOOSE( CONTROL!$C$29, 8.2693, 8.2651) * CHOOSE(CONTROL!$C$12, $D$11, 100%, $F$11)</f>
        <v>8.2692999999999994</v>
      </c>
      <c r="G336" s="8">
        <f>CHOOSE( CONTROL!$C$29, 7.0547, 7.0505) * CHOOSE( CONTROL!$C$12, $D$11, 100%, $F$11)</f>
        <v>7.0547000000000004</v>
      </c>
      <c r="H336" s="4">
        <f>CHOOSE( CONTROL!$C$29, 7.9844, 7.9803) * CHOOSE(CONTROL!$C$12, $D$11, 100%, $F$11)</f>
        <v>7.9843999999999999</v>
      </c>
      <c r="I336" s="8">
        <f>CHOOSE( CONTROL!$C$29, 7.0028, 6.9988) * CHOOSE(CONTROL!$C$12, $D$11, 100%, $F$11)</f>
        <v>7.0027999999999997</v>
      </c>
      <c r="J336" s="4">
        <f>CHOOSE( CONTROL!$C$29, 6.9237, 6.9197) * CHOOSE(CONTROL!$C$12, $D$11, 100%, $F$11)</f>
        <v>6.9237000000000002</v>
      </c>
      <c r="K336" s="4"/>
      <c r="L336" s="9">
        <v>29.520499999999998</v>
      </c>
      <c r="M336" s="9">
        <v>12.063700000000001</v>
      </c>
      <c r="N336" s="9">
        <v>4.9444999999999997</v>
      </c>
      <c r="O336" s="9">
        <v>0.37459999999999999</v>
      </c>
      <c r="P336" s="9">
        <v>1.2192000000000001</v>
      </c>
      <c r="Q336" s="9">
        <v>20.593900000000001</v>
      </c>
      <c r="R336" s="9"/>
      <c r="S336" s="11"/>
    </row>
    <row r="337" spans="1:19" ht="15.75">
      <c r="A337" s="13">
        <v>52139</v>
      </c>
      <c r="B337" s="8">
        <f>CHOOSE( CONTROL!$C$29, 7.0795, 7.0752) * CHOOSE(CONTROL!$C$12, $D$11, 100%, $F$11)</f>
        <v>7.0795000000000003</v>
      </c>
      <c r="C337" s="8">
        <f>CHOOSE( CONTROL!$C$29, 7.0899, 7.0857) * CHOOSE(CONTROL!$C$12, $D$11, 100%, $F$11)</f>
        <v>7.0899000000000001</v>
      </c>
      <c r="D337" s="8">
        <f>CHOOSE( CONTROL!$C$29, 7.1125, 7.1082) * CHOOSE( CONTROL!$C$12, $D$11, 100%, $F$11)</f>
        <v>7.1124999999999998</v>
      </c>
      <c r="E337" s="12">
        <f>CHOOSE( CONTROL!$C$29, 7.1027, 7.0984) * CHOOSE( CONTROL!$C$12, $D$11, 100%, $F$11)</f>
        <v>7.1026999999999996</v>
      </c>
      <c r="F337" s="4">
        <f>CHOOSE( CONTROL!$C$29, 8.118, 8.1138) * CHOOSE(CONTROL!$C$12, $D$11, 100%, $F$11)</f>
        <v>8.1180000000000003</v>
      </c>
      <c r="G337" s="8">
        <f>CHOOSE( CONTROL!$C$29, 6.9069, 6.9028) * CHOOSE( CONTROL!$C$12, $D$11, 100%, $F$11)</f>
        <v>6.9069000000000003</v>
      </c>
      <c r="H337" s="4">
        <f>CHOOSE( CONTROL!$C$29, 7.837, 7.8328) * CHOOSE(CONTROL!$C$12, $D$11, 100%, $F$11)</f>
        <v>7.8369999999999997</v>
      </c>
      <c r="I337" s="8">
        <f>CHOOSE( CONTROL!$C$29, 6.8561, 6.852) * CHOOSE(CONTROL!$C$12, $D$11, 100%, $F$11)</f>
        <v>6.8560999999999996</v>
      </c>
      <c r="J337" s="4">
        <f>CHOOSE( CONTROL!$C$29, 6.7788, 6.7747) * CHOOSE(CONTROL!$C$12, $D$11, 100%, $F$11)</f>
        <v>6.7788000000000004</v>
      </c>
      <c r="K337" s="4"/>
      <c r="L337" s="9">
        <v>28.568200000000001</v>
      </c>
      <c r="M337" s="9">
        <v>11.6745</v>
      </c>
      <c r="N337" s="9">
        <v>4.7850000000000001</v>
      </c>
      <c r="O337" s="9">
        <v>0.36249999999999999</v>
      </c>
      <c r="P337" s="9">
        <v>1.1798</v>
      </c>
      <c r="Q337" s="9">
        <v>19.929600000000001</v>
      </c>
      <c r="R337" s="9"/>
      <c r="S337" s="11"/>
    </row>
    <row r="338" spans="1:19" ht="15.75">
      <c r="A338" s="13">
        <v>52170</v>
      </c>
      <c r="B338" s="8">
        <f>7.3893 * CHOOSE(CONTROL!$C$12, $D$11, 100%, $F$11)</f>
        <v>7.3893000000000004</v>
      </c>
      <c r="C338" s="8">
        <f>7.3997 * CHOOSE(CONTROL!$C$12, $D$11, 100%, $F$11)</f>
        <v>7.3997000000000002</v>
      </c>
      <c r="D338" s="8">
        <f>7.4042 * CHOOSE( CONTROL!$C$12, $D$11, 100%, $F$11)</f>
        <v>7.4042000000000003</v>
      </c>
      <c r="E338" s="12">
        <f>7.4016 * CHOOSE( CONTROL!$C$12, $D$11, 100%, $F$11)</f>
        <v>7.4016000000000002</v>
      </c>
      <c r="F338" s="4">
        <f>8.3966 * CHOOSE(CONTROL!$C$12, $D$11, 100%, $F$11)</f>
        <v>8.3965999999999994</v>
      </c>
      <c r="G338" s="8">
        <f>7.1992 * CHOOSE( CONTROL!$C$12, $D$11, 100%, $F$11)</f>
        <v>7.1992000000000003</v>
      </c>
      <c r="H338" s="4">
        <f>8.1085 * CHOOSE(CONTROL!$C$12, $D$11, 100%, $F$11)</f>
        <v>8.1084999999999994</v>
      </c>
      <c r="I338" s="8">
        <f>7.1498 * CHOOSE(CONTROL!$C$12, $D$11, 100%, $F$11)</f>
        <v>7.1497999999999999</v>
      </c>
      <c r="J338" s="4">
        <f>7.0757 * CHOOSE(CONTROL!$C$12, $D$11, 100%, $F$11)</f>
        <v>7.0757000000000003</v>
      </c>
      <c r="K338" s="4"/>
      <c r="L338" s="9">
        <v>28.921800000000001</v>
      </c>
      <c r="M338" s="9">
        <v>12.063700000000001</v>
      </c>
      <c r="N338" s="9">
        <v>4.9444999999999997</v>
      </c>
      <c r="O338" s="9">
        <v>0.37459999999999999</v>
      </c>
      <c r="P338" s="9">
        <v>1.2192000000000001</v>
      </c>
      <c r="Q338" s="9">
        <v>20.593900000000001</v>
      </c>
      <c r="R338" s="9"/>
      <c r="S338" s="11"/>
    </row>
    <row r="339" spans="1:19" ht="15.75">
      <c r="A339" s="13">
        <v>52200</v>
      </c>
      <c r="B339" s="8">
        <f>7.969 * CHOOSE(CONTROL!$C$12, $D$11, 100%, $F$11)</f>
        <v>7.9690000000000003</v>
      </c>
      <c r="C339" s="8">
        <f>7.9795 * CHOOSE(CONTROL!$C$12, $D$11, 100%, $F$11)</f>
        <v>7.9794999999999998</v>
      </c>
      <c r="D339" s="8">
        <f>7.9619 * CHOOSE( CONTROL!$C$12, $D$11, 100%, $F$11)</f>
        <v>7.9619</v>
      </c>
      <c r="E339" s="12">
        <f>7.9672 * CHOOSE( CONTROL!$C$12, $D$11, 100%, $F$11)</f>
        <v>7.9672000000000001</v>
      </c>
      <c r="F339" s="4">
        <f>8.9633 * CHOOSE(CONTROL!$C$12, $D$11, 100%, $F$11)</f>
        <v>8.9633000000000003</v>
      </c>
      <c r="G339" s="8">
        <f>7.7768 * CHOOSE( CONTROL!$C$12, $D$11, 100%, $F$11)</f>
        <v>7.7767999999999997</v>
      </c>
      <c r="H339" s="4">
        <f>8.6609 * CHOOSE(CONTROL!$C$12, $D$11, 100%, $F$11)</f>
        <v>8.6608999999999998</v>
      </c>
      <c r="I339" s="8">
        <f>7.729 * CHOOSE(CONTROL!$C$12, $D$11, 100%, $F$11)</f>
        <v>7.7290000000000001</v>
      </c>
      <c r="J339" s="4">
        <f>7.6312 * CHOOSE(CONTROL!$C$12, $D$11, 100%, $F$11)</f>
        <v>7.6311999999999998</v>
      </c>
      <c r="K339" s="4"/>
      <c r="L339" s="9">
        <v>26.515499999999999</v>
      </c>
      <c r="M339" s="9">
        <v>11.6745</v>
      </c>
      <c r="N339" s="9">
        <v>4.7850000000000001</v>
      </c>
      <c r="O339" s="9">
        <v>0.36249999999999999</v>
      </c>
      <c r="P339" s="9">
        <v>1.2522</v>
      </c>
      <c r="Q339" s="9">
        <v>19.929600000000001</v>
      </c>
      <c r="R339" s="9"/>
      <c r="S339" s="11"/>
    </row>
    <row r="340" spans="1:19" ht="15.75">
      <c r="A340" s="13">
        <v>52231</v>
      </c>
      <c r="B340" s="8">
        <f>7.9546 * CHOOSE(CONTROL!$C$12, $D$11, 100%, $F$11)</f>
        <v>7.9546000000000001</v>
      </c>
      <c r="C340" s="8">
        <f>7.965 * CHOOSE(CONTROL!$C$12, $D$11, 100%, $F$11)</f>
        <v>7.9649999999999999</v>
      </c>
      <c r="D340" s="8">
        <f>7.9494 * CHOOSE( CONTROL!$C$12, $D$11, 100%, $F$11)</f>
        <v>7.9493999999999998</v>
      </c>
      <c r="E340" s="12">
        <f>7.954 * CHOOSE( CONTROL!$C$12, $D$11, 100%, $F$11)</f>
        <v>7.9539999999999997</v>
      </c>
      <c r="F340" s="4">
        <f>8.9488 * CHOOSE(CONTROL!$C$12, $D$11, 100%, $F$11)</f>
        <v>8.9488000000000003</v>
      </c>
      <c r="G340" s="8">
        <f>7.7642 * CHOOSE( CONTROL!$C$12, $D$11, 100%, $F$11)</f>
        <v>7.7641999999999998</v>
      </c>
      <c r="H340" s="4">
        <f>8.6468 * CHOOSE(CONTROL!$C$12, $D$11, 100%, $F$11)</f>
        <v>8.6468000000000007</v>
      </c>
      <c r="I340" s="8">
        <f>7.7223 * CHOOSE(CONTROL!$C$12, $D$11, 100%, $F$11)</f>
        <v>7.7222999999999997</v>
      </c>
      <c r="J340" s="4">
        <f>7.6173 * CHOOSE(CONTROL!$C$12, $D$11, 100%, $F$11)</f>
        <v>7.6173000000000002</v>
      </c>
      <c r="K340" s="4"/>
      <c r="L340" s="9">
        <v>27.3993</v>
      </c>
      <c r="M340" s="9">
        <v>12.063700000000001</v>
      </c>
      <c r="N340" s="9">
        <v>4.9444999999999997</v>
      </c>
      <c r="O340" s="9">
        <v>0.37459999999999999</v>
      </c>
      <c r="P340" s="9">
        <v>1.2939000000000001</v>
      </c>
      <c r="Q340" s="9">
        <v>20.593900000000001</v>
      </c>
      <c r="R340" s="9"/>
      <c r="S340" s="11"/>
    </row>
    <row r="341" spans="1:19" ht="15.75">
      <c r="A341" s="13">
        <v>52262</v>
      </c>
      <c r="B341" s="8">
        <f>8.2584 * CHOOSE(CONTROL!$C$12, $D$11, 100%, $F$11)</f>
        <v>8.2584</v>
      </c>
      <c r="C341" s="8">
        <f>8.2688 * CHOOSE(CONTROL!$C$12, $D$11, 100%, $F$11)</f>
        <v>8.2688000000000006</v>
      </c>
      <c r="D341" s="8">
        <f>8.2665 * CHOOSE( CONTROL!$C$12, $D$11, 100%, $F$11)</f>
        <v>8.2665000000000006</v>
      </c>
      <c r="E341" s="12">
        <f>8.2662 * CHOOSE( CONTROL!$C$12, $D$11, 100%, $F$11)</f>
        <v>8.2661999999999995</v>
      </c>
      <c r="F341" s="4">
        <f>9.2813 * CHOOSE(CONTROL!$C$12, $D$11, 100%, $F$11)</f>
        <v>9.2812999999999999</v>
      </c>
      <c r="G341" s="8">
        <f>8.0775 * CHOOSE( CONTROL!$C$12, $D$11, 100%, $F$11)</f>
        <v>8.0775000000000006</v>
      </c>
      <c r="H341" s="4">
        <f>8.9709 * CHOOSE(CONTROL!$C$12, $D$11, 100%, $F$11)</f>
        <v>8.9709000000000003</v>
      </c>
      <c r="I341" s="8">
        <f>8.021 * CHOOSE(CONTROL!$C$12, $D$11, 100%, $F$11)</f>
        <v>8.0210000000000008</v>
      </c>
      <c r="J341" s="4">
        <f>7.9084 * CHOOSE(CONTROL!$C$12, $D$11, 100%, $F$11)</f>
        <v>7.9084000000000003</v>
      </c>
      <c r="K341" s="4"/>
      <c r="L341" s="9">
        <v>27.3993</v>
      </c>
      <c r="M341" s="9">
        <v>12.063700000000001</v>
      </c>
      <c r="N341" s="9">
        <v>4.9444999999999997</v>
      </c>
      <c r="O341" s="9">
        <v>0.37459999999999999</v>
      </c>
      <c r="P341" s="9">
        <v>1.2939000000000001</v>
      </c>
      <c r="Q341" s="9">
        <v>20.5288</v>
      </c>
      <c r="R341" s="9"/>
      <c r="S341" s="11"/>
    </row>
    <row r="342" spans="1:19" ht="15.75">
      <c r="A342" s="13">
        <v>52290</v>
      </c>
      <c r="B342" s="8">
        <f>7.7248 * CHOOSE(CONTROL!$C$12, $D$11, 100%, $F$11)</f>
        <v>7.7248000000000001</v>
      </c>
      <c r="C342" s="8">
        <f>7.7353 * CHOOSE(CONTROL!$C$12, $D$11, 100%, $F$11)</f>
        <v>7.7352999999999996</v>
      </c>
      <c r="D342" s="8">
        <f>7.7352 * CHOOSE( CONTROL!$C$12, $D$11, 100%, $F$11)</f>
        <v>7.7351999999999999</v>
      </c>
      <c r="E342" s="12">
        <f>7.7341 * CHOOSE( CONTROL!$C$12, $D$11, 100%, $F$11)</f>
        <v>7.7340999999999998</v>
      </c>
      <c r="F342" s="4">
        <f>8.7399 * CHOOSE(CONTROL!$C$12, $D$11, 100%, $F$11)</f>
        <v>8.7399000000000004</v>
      </c>
      <c r="G342" s="8">
        <f>7.5573 * CHOOSE( CONTROL!$C$12, $D$11, 100%, $F$11)</f>
        <v>7.5572999999999997</v>
      </c>
      <c r="H342" s="4">
        <f>8.4432 * CHOOSE(CONTROL!$C$12, $D$11, 100%, $F$11)</f>
        <v>8.4431999999999992</v>
      </c>
      <c r="I342" s="8">
        <f>7.4985 * CHOOSE(CONTROL!$C$12, $D$11, 100%, $F$11)</f>
        <v>7.4984999999999999</v>
      </c>
      <c r="J342" s="4">
        <f>7.3972 * CHOOSE(CONTROL!$C$12, $D$11, 100%, $F$11)</f>
        <v>7.3971999999999998</v>
      </c>
      <c r="K342" s="4"/>
      <c r="L342" s="9">
        <v>24.747800000000002</v>
      </c>
      <c r="M342" s="9">
        <v>10.8962</v>
      </c>
      <c r="N342" s="9">
        <v>4.4660000000000002</v>
      </c>
      <c r="O342" s="9">
        <v>0.33829999999999999</v>
      </c>
      <c r="P342" s="9">
        <v>1.1687000000000001</v>
      </c>
      <c r="Q342" s="9">
        <v>18.542200000000001</v>
      </c>
      <c r="R342" s="9"/>
      <c r="S342" s="11"/>
    </row>
    <row r="343" spans="1:19" ht="15.75">
      <c r="A343" s="13">
        <v>52321</v>
      </c>
      <c r="B343" s="8">
        <f>7.5605 * CHOOSE(CONTROL!$C$12, $D$11, 100%, $F$11)</f>
        <v>7.5605000000000002</v>
      </c>
      <c r="C343" s="8">
        <f>7.5709 * CHOOSE(CONTROL!$C$12, $D$11, 100%, $F$11)</f>
        <v>7.5709</v>
      </c>
      <c r="D343" s="8">
        <f>7.5508 * CHOOSE( CONTROL!$C$12, $D$11, 100%, $F$11)</f>
        <v>7.5507999999999997</v>
      </c>
      <c r="E343" s="12">
        <f>7.557 * CHOOSE( CONTROL!$C$12, $D$11, 100%, $F$11)</f>
        <v>7.5570000000000004</v>
      </c>
      <c r="F343" s="4">
        <f>8.5594 * CHOOSE(CONTROL!$C$12, $D$11, 100%, $F$11)</f>
        <v>8.5594000000000001</v>
      </c>
      <c r="G343" s="8">
        <f>7.3766 * CHOOSE( CONTROL!$C$12, $D$11, 100%, $F$11)</f>
        <v>7.3765999999999998</v>
      </c>
      <c r="H343" s="4">
        <f>8.2672 * CHOOSE(CONTROL!$C$12, $D$11, 100%, $F$11)</f>
        <v>8.2672000000000008</v>
      </c>
      <c r="I343" s="8">
        <f>7.3015 * CHOOSE(CONTROL!$C$12, $D$11, 100%, $F$11)</f>
        <v>7.3014999999999999</v>
      </c>
      <c r="J343" s="4">
        <f>7.2397 * CHOOSE(CONTROL!$C$12, $D$11, 100%, $F$11)</f>
        <v>7.2397</v>
      </c>
      <c r="K343" s="4"/>
      <c r="L343" s="9">
        <v>27.3993</v>
      </c>
      <c r="M343" s="9">
        <v>12.063700000000001</v>
      </c>
      <c r="N343" s="9">
        <v>4.9444999999999997</v>
      </c>
      <c r="O343" s="9">
        <v>0.37459999999999999</v>
      </c>
      <c r="P343" s="9">
        <v>1.2939000000000001</v>
      </c>
      <c r="Q343" s="9">
        <v>20.5288</v>
      </c>
      <c r="R343" s="9"/>
      <c r="S343" s="11"/>
    </row>
    <row r="344" spans="1:19" ht="15.75">
      <c r="A344" s="13">
        <v>52351</v>
      </c>
      <c r="B344" s="8">
        <f>7.6753 * CHOOSE(CONTROL!$C$12, $D$11, 100%, $F$11)</f>
        <v>7.6753</v>
      </c>
      <c r="C344" s="8">
        <f>7.6858 * CHOOSE(CONTROL!$C$12, $D$11, 100%, $F$11)</f>
        <v>7.6858000000000004</v>
      </c>
      <c r="D344" s="8">
        <f>7.689 * CHOOSE( CONTROL!$C$12, $D$11, 100%, $F$11)</f>
        <v>7.6890000000000001</v>
      </c>
      <c r="E344" s="12">
        <f>7.6867 * CHOOSE( CONTROL!$C$12, $D$11, 100%, $F$11)</f>
        <v>7.6867000000000001</v>
      </c>
      <c r="F344" s="4">
        <f>8.6826 * CHOOSE(CONTROL!$C$12, $D$11, 100%, $F$11)</f>
        <v>8.6826000000000008</v>
      </c>
      <c r="G344" s="8">
        <f>7.4764 * CHOOSE( CONTROL!$C$12, $D$11, 100%, $F$11)</f>
        <v>7.4763999999999999</v>
      </c>
      <c r="H344" s="4">
        <f>8.3873 * CHOOSE(CONTROL!$C$12, $D$11, 100%, $F$11)</f>
        <v>8.3872999999999998</v>
      </c>
      <c r="I344" s="8">
        <f>7.4016 * CHOOSE(CONTROL!$C$12, $D$11, 100%, $F$11)</f>
        <v>7.4016000000000002</v>
      </c>
      <c r="J344" s="4">
        <f>7.3497 * CHOOSE(CONTROL!$C$12, $D$11, 100%, $F$11)</f>
        <v>7.3497000000000003</v>
      </c>
      <c r="K344" s="4"/>
      <c r="L344" s="9">
        <v>27.988800000000001</v>
      </c>
      <c r="M344" s="9">
        <v>11.6745</v>
      </c>
      <c r="N344" s="9">
        <v>4.7850000000000001</v>
      </c>
      <c r="O344" s="9">
        <v>0.36249999999999999</v>
      </c>
      <c r="P344" s="9">
        <v>1.1798</v>
      </c>
      <c r="Q344" s="9">
        <v>19.866599999999998</v>
      </c>
      <c r="R344" s="9"/>
      <c r="S344" s="11"/>
    </row>
    <row r="345" spans="1:19" ht="15.75">
      <c r="A345" s="13">
        <v>52382</v>
      </c>
      <c r="B345" s="8">
        <f>CHOOSE( CONTROL!$C$29, 7.8839, 7.8797) * CHOOSE(CONTROL!$C$12, $D$11, 100%, $F$11)</f>
        <v>7.8838999999999997</v>
      </c>
      <c r="C345" s="8">
        <f>CHOOSE( CONTROL!$C$29, 7.8944, 7.8901) * CHOOSE(CONTROL!$C$12, $D$11, 100%, $F$11)</f>
        <v>7.8944000000000001</v>
      </c>
      <c r="D345" s="8">
        <f>CHOOSE( CONTROL!$C$29, 7.8723, 7.8681) * CHOOSE( CONTROL!$C$12, $D$11, 100%, $F$11)</f>
        <v>7.8723000000000001</v>
      </c>
      <c r="E345" s="12">
        <f>CHOOSE( CONTROL!$C$29, 7.8787, 7.8745) * CHOOSE( CONTROL!$C$12, $D$11, 100%, $F$11)</f>
        <v>7.8787000000000003</v>
      </c>
      <c r="F345" s="4">
        <f>CHOOSE( CONTROL!$C$29, 8.8588, 8.8546) * CHOOSE(CONTROL!$C$12, $D$11, 100%, $F$11)</f>
        <v>8.8588000000000005</v>
      </c>
      <c r="G345" s="8">
        <f>CHOOSE( CONTROL!$C$29, 7.661, 7.6569) * CHOOSE( CONTROL!$C$12, $D$11, 100%, $F$11)</f>
        <v>7.6609999999999996</v>
      </c>
      <c r="H345" s="4">
        <f>CHOOSE( CONTROL!$C$29, 8.5591, 8.555) * CHOOSE(CONTROL!$C$12, $D$11, 100%, $F$11)</f>
        <v>8.5591000000000008</v>
      </c>
      <c r="I345" s="8">
        <f>CHOOSE( CONTROL!$C$29, 7.5801, 7.576) * CHOOSE(CONTROL!$C$12, $D$11, 100%, $F$11)</f>
        <v>7.5800999999999998</v>
      </c>
      <c r="J345" s="4">
        <f>CHOOSE( CONTROL!$C$29, 7.5496, 7.5456) * CHOOSE(CONTROL!$C$12, $D$11, 100%, $F$11)</f>
        <v>7.5495999999999999</v>
      </c>
      <c r="K345" s="4"/>
      <c r="L345" s="9">
        <v>29.520499999999998</v>
      </c>
      <c r="M345" s="9">
        <v>12.063700000000001</v>
      </c>
      <c r="N345" s="9">
        <v>4.9444999999999997</v>
      </c>
      <c r="O345" s="9">
        <v>0.37459999999999999</v>
      </c>
      <c r="P345" s="9">
        <v>1.2192000000000001</v>
      </c>
      <c r="Q345" s="9">
        <v>20.5288</v>
      </c>
      <c r="R345" s="9"/>
      <c r="S345" s="11"/>
    </row>
    <row r="346" spans="1:19" ht="15.75">
      <c r="A346" s="13">
        <v>52412</v>
      </c>
      <c r="B346" s="8">
        <f>CHOOSE( CONTROL!$C$29, 7.7573, 7.7531) * CHOOSE(CONTROL!$C$12, $D$11, 100%, $F$11)</f>
        <v>7.7572999999999999</v>
      </c>
      <c r="C346" s="8">
        <f>CHOOSE( CONTROL!$C$29, 7.7678, 7.7635) * CHOOSE(CONTROL!$C$12, $D$11, 100%, $F$11)</f>
        <v>7.7678000000000003</v>
      </c>
      <c r="D346" s="8">
        <f>CHOOSE( CONTROL!$C$29, 7.7401, 7.7359) * CHOOSE( CONTROL!$C$12, $D$11, 100%, $F$11)</f>
        <v>7.7401</v>
      </c>
      <c r="E346" s="12">
        <f>CHOOSE( CONTROL!$C$29, 7.7485, 7.7443) * CHOOSE( CONTROL!$C$12, $D$11, 100%, $F$11)</f>
        <v>7.7484999999999999</v>
      </c>
      <c r="F346" s="4">
        <f>CHOOSE( CONTROL!$C$29, 8.7218, 8.7176) * CHOOSE(CONTROL!$C$12, $D$11, 100%, $F$11)</f>
        <v>8.7218</v>
      </c>
      <c r="G346" s="8">
        <f>CHOOSE( CONTROL!$C$29, 7.5363, 7.5322) * CHOOSE( CONTROL!$C$12, $D$11, 100%, $F$11)</f>
        <v>7.5362999999999998</v>
      </c>
      <c r="H346" s="4">
        <f>CHOOSE( CONTROL!$C$29, 8.4255, 8.4214) * CHOOSE(CONTROL!$C$12, $D$11, 100%, $F$11)</f>
        <v>8.4254999999999995</v>
      </c>
      <c r="I346" s="8">
        <f>CHOOSE( CONTROL!$C$29, 7.4609, 7.4568) * CHOOSE(CONTROL!$C$12, $D$11, 100%, $F$11)</f>
        <v>7.4608999999999996</v>
      </c>
      <c r="J346" s="4">
        <f>CHOOSE( CONTROL!$C$29, 7.4283, 7.4243) * CHOOSE(CONTROL!$C$12, $D$11, 100%, $F$11)</f>
        <v>7.4283000000000001</v>
      </c>
      <c r="K346" s="4"/>
      <c r="L346" s="9">
        <v>28.568200000000001</v>
      </c>
      <c r="M346" s="9">
        <v>11.6745</v>
      </c>
      <c r="N346" s="9">
        <v>4.7850000000000001</v>
      </c>
      <c r="O346" s="9">
        <v>0.36249999999999999</v>
      </c>
      <c r="P346" s="9">
        <v>1.1798</v>
      </c>
      <c r="Q346" s="9">
        <v>19.866599999999998</v>
      </c>
      <c r="R346" s="9"/>
      <c r="S346" s="11"/>
    </row>
    <row r="347" spans="1:19" ht="15.75">
      <c r="A347" s="13">
        <v>52443</v>
      </c>
      <c r="B347" s="8">
        <f>CHOOSE( CONTROL!$C$29, 8.0907, 8.0865) * CHOOSE(CONTROL!$C$12, $D$11, 100%, $F$11)</f>
        <v>8.0907</v>
      </c>
      <c r="C347" s="8">
        <f>CHOOSE( CONTROL!$C$29, 8.1012, 8.0969) * CHOOSE(CONTROL!$C$12, $D$11, 100%, $F$11)</f>
        <v>8.1012000000000004</v>
      </c>
      <c r="D347" s="8">
        <f>CHOOSE( CONTROL!$C$29, 8.1073, 8.1031) * CHOOSE( CONTROL!$C$12, $D$11, 100%, $F$11)</f>
        <v>8.1073000000000004</v>
      </c>
      <c r="E347" s="12">
        <f>CHOOSE( CONTROL!$C$29, 8.1035, 8.0993) * CHOOSE( CONTROL!$C$12, $D$11, 100%, $F$11)</f>
        <v>8.1035000000000004</v>
      </c>
      <c r="F347" s="4">
        <f>CHOOSE( CONTROL!$C$29, 9.1006, 9.0964) * CHOOSE(CONTROL!$C$12, $D$11, 100%, $F$11)</f>
        <v>9.1006</v>
      </c>
      <c r="G347" s="8">
        <f>CHOOSE( CONTROL!$C$29, 7.8874, 7.8832) * CHOOSE( CONTROL!$C$12, $D$11, 100%, $F$11)</f>
        <v>7.8874000000000004</v>
      </c>
      <c r="H347" s="4">
        <f>CHOOSE( CONTROL!$C$29, 8.7948, 8.7906) * CHOOSE(CONTROL!$C$12, $D$11, 100%, $F$11)</f>
        <v>8.7948000000000004</v>
      </c>
      <c r="I347" s="8">
        <f>CHOOSE( CONTROL!$C$29, 7.8358, 7.8317) * CHOOSE(CONTROL!$C$12, $D$11, 100%, $F$11)</f>
        <v>7.8357999999999999</v>
      </c>
      <c r="J347" s="4">
        <f>CHOOSE( CONTROL!$C$29, 7.7478, 7.7437) * CHOOSE(CONTROL!$C$12, $D$11, 100%, $F$11)</f>
        <v>7.7477999999999998</v>
      </c>
      <c r="K347" s="4"/>
      <c r="L347" s="9">
        <v>29.520499999999998</v>
      </c>
      <c r="M347" s="9">
        <v>12.063700000000001</v>
      </c>
      <c r="N347" s="9">
        <v>4.9444999999999997</v>
      </c>
      <c r="O347" s="9">
        <v>0.37459999999999999</v>
      </c>
      <c r="P347" s="9">
        <v>1.2192000000000001</v>
      </c>
      <c r="Q347" s="9">
        <v>20.5288</v>
      </c>
      <c r="R347" s="9"/>
      <c r="S347" s="11"/>
    </row>
    <row r="348" spans="1:19" ht="15.75">
      <c r="A348" s="13">
        <v>52474</v>
      </c>
      <c r="B348" s="8">
        <f>CHOOSE( CONTROL!$C$29, 7.4669, 7.4627) * CHOOSE(CONTROL!$C$12, $D$11, 100%, $F$11)</f>
        <v>7.4668999999999999</v>
      </c>
      <c r="C348" s="8">
        <f>CHOOSE( CONTROL!$C$29, 7.4773, 7.4731) * CHOOSE(CONTROL!$C$12, $D$11, 100%, $F$11)</f>
        <v>7.4772999999999996</v>
      </c>
      <c r="D348" s="8">
        <f>CHOOSE( CONTROL!$C$29, 7.4999, 7.4957) * CHOOSE( CONTROL!$C$12, $D$11, 100%, $F$11)</f>
        <v>7.4999000000000002</v>
      </c>
      <c r="E348" s="12">
        <f>CHOOSE( CONTROL!$C$29, 7.4901, 7.4859) * CHOOSE( CONTROL!$C$12, $D$11, 100%, $F$11)</f>
        <v>7.4901</v>
      </c>
      <c r="F348" s="4">
        <f>CHOOSE( CONTROL!$C$29, 8.5055, 8.5012) * CHOOSE(CONTROL!$C$12, $D$11, 100%, $F$11)</f>
        <v>8.5054999999999996</v>
      </c>
      <c r="G348" s="8">
        <f>CHOOSE( CONTROL!$C$29, 7.2849, 7.2807) * CHOOSE( CONTROL!$C$12, $D$11, 100%, $F$11)</f>
        <v>7.2849000000000004</v>
      </c>
      <c r="H348" s="4">
        <f>CHOOSE( CONTROL!$C$29, 8.2146, 8.2105) * CHOOSE(CONTROL!$C$12, $D$11, 100%, $F$11)</f>
        <v>8.2146000000000008</v>
      </c>
      <c r="I348" s="8">
        <f>CHOOSE( CONTROL!$C$29, 7.2292, 7.2252) * CHOOSE(CONTROL!$C$12, $D$11, 100%, $F$11)</f>
        <v>7.2291999999999996</v>
      </c>
      <c r="J348" s="4">
        <f>CHOOSE( CONTROL!$C$29, 7.15, 7.146) * CHOOSE(CONTROL!$C$12, $D$11, 100%, $F$11)</f>
        <v>7.15</v>
      </c>
      <c r="K348" s="4"/>
      <c r="L348" s="9">
        <v>29.520499999999998</v>
      </c>
      <c r="M348" s="9">
        <v>12.063700000000001</v>
      </c>
      <c r="N348" s="9">
        <v>4.9444999999999997</v>
      </c>
      <c r="O348" s="9">
        <v>0.37459999999999999</v>
      </c>
      <c r="P348" s="9">
        <v>1.2192000000000001</v>
      </c>
      <c r="Q348" s="9">
        <v>20.5288</v>
      </c>
      <c r="R348" s="9"/>
      <c r="S348" s="11"/>
    </row>
    <row r="349" spans="1:19" ht="15.75">
      <c r="A349" s="13">
        <v>52504</v>
      </c>
      <c r="B349" s="8">
        <f>CHOOSE( CONTROL!$C$29, 7.3107, 7.3064) * CHOOSE(CONTROL!$C$12, $D$11, 100%, $F$11)</f>
        <v>7.3106999999999998</v>
      </c>
      <c r="C349" s="8">
        <f>CHOOSE( CONTROL!$C$29, 7.3211, 7.3169) * CHOOSE(CONTROL!$C$12, $D$11, 100%, $F$11)</f>
        <v>7.3211000000000004</v>
      </c>
      <c r="D349" s="8">
        <f>CHOOSE( CONTROL!$C$29, 7.3437, 7.3394) * CHOOSE( CONTROL!$C$12, $D$11, 100%, $F$11)</f>
        <v>7.3437000000000001</v>
      </c>
      <c r="E349" s="12">
        <f>CHOOSE( CONTROL!$C$29, 7.3339, 7.3296) * CHOOSE( CONTROL!$C$12, $D$11, 100%, $F$11)</f>
        <v>7.3338999999999999</v>
      </c>
      <c r="F349" s="4">
        <f>CHOOSE( CONTROL!$C$29, 8.3493, 8.345) * CHOOSE(CONTROL!$C$12, $D$11, 100%, $F$11)</f>
        <v>8.3492999999999995</v>
      </c>
      <c r="G349" s="8">
        <f>CHOOSE( CONTROL!$C$29, 7.1323, 7.1282) * CHOOSE( CONTROL!$C$12, $D$11, 100%, $F$11)</f>
        <v>7.1322999999999999</v>
      </c>
      <c r="H349" s="4">
        <f>CHOOSE( CONTROL!$C$29, 8.0624, 8.0582) * CHOOSE(CONTROL!$C$12, $D$11, 100%, $F$11)</f>
        <v>8.0624000000000002</v>
      </c>
      <c r="I349" s="8">
        <f>CHOOSE( CONTROL!$C$29, 7.0778, 7.0737) * CHOOSE(CONTROL!$C$12, $D$11, 100%, $F$11)</f>
        <v>7.0777999999999999</v>
      </c>
      <c r="J349" s="4">
        <f>CHOOSE( CONTROL!$C$29, 7.0003, 6.9963) * CHOOSE(CONTROL!$C$12, $D$11, 100%, $F$11)</f>
        <v>7.0003000000000002</v>
      </c>
      <c r="K349" s="4"/>
      <c r="L349" s="9">
        <v>28.568200000000001</v>
      </c>
      <c r="M349" s="9">
        <v>11.6745</v>
      </c>
      <c r="N349" s="9">
        <v>4.7850000000000001</v>
      </c>
      <c r="O349" s="9">
        <v>0.36249999999999999</v>
      </c>
      <c r="P349" s="9">
        <v>1.1798</v>
      </c>
      <c r="Q349" s="9">
        <v>19.866599999999998</v>
      </c>
      <c r="R349" s="9"/>
      <c r="S349" s="11"/>
    </row>
    <row r="350" spans="1:19" ht="15.75">
      <c r="A350" s="13">
        <v>52535</v>
      </c>
      <c r="B350" s="8">
        <f>7.6308 * CHOOSE(CONTROL!$C$12, $D$11, 100%, $F$11)</f>
        <v>7.6307999999999998</v>
      </c>
      <c r="C350" s="8">
        <f>7.6412 * CHOOSE(CONTROL!$C$12, $D$11, 100%, $F$11)</f>
        <v>7.6412000000000004</v>
      </c>
      <c r="D350" s="8">
        <f>7.6457 * CHOOSE( CONTROL!$C$12, $D$11, 100%, $F$11)</f>
        <v>7.6456999999999997</v>
      </c>
      <c r="E350" s="12">
        <f>7.6431 * CHOOSE( CONTROL!$C$12, $D$11, 100%, $F$11)</f>
        <v>7.6430999999999996</v>
      </c>
      <c r="F350" s="4">
        <f>8.6381 * CHOOSE(CONTROL!$C$12, $D$11, 100%, $F$11)</f>
        <v>8.6380999999999997</v>
      </c>
      <c r="G350" s="8">
        <f>7.4346 * CHOOSE( CONTROL!$C$12, $D$11, 100%, $F$11)</f>
        <v>7.4345999999999997</v>
      </c>
      <c r="H350" s="4">
        <f>8.3439 * CHOOSE(CONTROL!$C$12, $D$11, 100%, $F$11)</f>
        <v>8.3438999999999997</v>
      </c>
      <c r="I350" s="8">
        <f>7.3813 * CHOOSE(CONTROL!$C$12, $D$11, 100%, $F$11)</f>
        <v>7.3813000000000004</v>
      </c>
      <c r="J350" s="4">
        <f>7.3071 * CHOOSE(CONTROL!$C$12, $D$11, 100%, $F$11)</f>
        <v>7.3071000000000002</v>
      </c>
      <c r="K350" s="4"/>
      <c r="L350" s="9">
        <v>28.921800000000001</v>
      </c>
      <c r="M350" s="9">
        <v>12.063700000000001</v>
      </c>
      <c r="N350" s="9">
        <v>4.9444999999999997</v>
      </c>
      <c r="O350" s="9">
        <v>0.37459999999999999</v>
      </c>
      <c r="P350" s="9">
        <v>1.2192000000000001</v>
      </c>
      <c r="Q350" s="9">
        <v>20.5288</v>
      </c>
      <c r="R350" s="9"/>
      <c r="S350" s="11"/>
    </row>
    <row r="351" spans="1:19" ht="15.75">
      <c r="A351" s="13">
        <v>52565</v>
      </c>
      <c r="B351" s="8">
        <f>8.2295 * CHOOSE(CONTROL!$C$12, $D$11, 100%, $F$11)</f>
        <v>8.2294999999999998</v>
      </c>
      <c r="C351" s="8">
        <f>8.2399 * CHOOSE(CONTROL!$C$12, $D$11, 100%, $F$11)</f>
        <v>8.2399000000000004</v>
      </c>
      <c r="D351" s="8">
        <f>8.2223 * CHOOSE( CONTROL!$C$12, $D$11, 100%, $F$11)</f>
        <v>8.2223000000000006</v>
      </c>
      <c r="E351" s="12">
        <f>8.2276 * CHOOSE( CONTROL!$C$12, $D$11, 100%, $F$11)</f>
        <v>8.2276000000000007</v>
      </c>
      <c r="F351" s="4">
        <f>9.2237 * CHOOSE(CONTROL!$C$12, $D$11, 100%, $F$11)</f>
        <v>9.2236999999999991</v>
      </c>
      <c r="G351" s="8">
        <f>8.0307 * CHOOSE( CONTROL!$C$12, $D$11, 100%, $F$11)</f>
        <v>8.0306999999999995</v>
      </c>
      <c r="H351" s="4">
        <f>8.9148 * CHOOSE(CONTROL!$C$12, $D$11, 100%, $F$11)</f>
        <v>8.9147999999999996</v>
      </c>
      <c r="I351" s="8">
        <f>7.9787 * CHOOSE(CONTROL!$C$12, $D$11, 100%, $F$11)</f>
        <v>7.9786999999999999</v>
      </c>
      <c r="J351" s="4">
        <f>7.8808 * CHOOSE(CONTROL!$C$12, $D$11, 100%, $F$11)</f>
        <v>7.8807999999999998</v>
      </c>
      <c r="K351" s="4"/>
      <c r="L351" s="9">
        <v>26.515499999999999</v>
      </c>
      <c r="M351" s="9">
        <v>11.6745</v>
      </c>
      <c r="N351" s="9">
        <v>4.7850000000000001</v>
      </c>
      <c r="O351" s="9">
        <v>0.36249999999999999</v>
      </c>
      <c r="P351" s="9">
        <v>1.2522</v>
      </c>
      <c r="Q351" s="9">
        <v>19.866599999999998</v>
      </c>
      <c r="R351" s="9"/>
      <c r="S351" s="11"/>
    </row>
    <row r="352" spans="1:19" ht="15.75">
      <c r="A352" s="13">
        <v>52596</v>
      </c>
      <c r="B352" s="8">
        <f>8.2145 * CHOOSE(CONTROL!$C$12, $D$11, 100%, $F$11)</f>
        <v>8.2144999999999992</v>
      </c>
      <c r="C352" s="8">
        <f>8.225 * CHOOSE(CONTROL!$C$12, $D$11, 100%, $F$11)</f>
        <v>8.2249999999999996</v>
      </c>
      <c r="D352" s="8">
        <f>8.2094 * CHOOSE( CONTROL!$C$12, $D$11, 100%, $F$11)</f>
        <v>8.2094000000000005</v>
      </c>
      <c r="E352" s="12">
        <f>8.214 * CHOOSE( CONTROL!$C$12, $D$11, 100%, $F$11)</f>
        <v>8.2140000000000004</v>
      </c>
      <c r="F352" s="4">
        <f>9.2088 * CHOOSE(CONTROL!$C$12, $D$11, 100%, $F$11)</f>
        <v>9.2088000000000001</v>
      </c>
      <c r="G352" s="8">
        <f>8.0176 * CHOOSE( CONTROL!$C$12, $D$11, 100%, $F$11)</f>
        <v>8.0175999999999998</v>
      </c>
      <c r="H352" s="4">
        <f>8.9002 * CHOOSE(CONTROL!$C$12, $D$11, 100%, $F$11)</f>
        <v>8.9001999999999999</v>
      </c>
      <c r="I352" s="8">
        <f>7.9716 * CHOOSE(CONTROL!$C$12, $D$11, 100%, $F$11)</f>
        <v>7.9715999999999996</v>
      </c>
      <c r="J352" s="4">
        <f>7.8664 * CHOOSE(CONTROL!$C$12, $D$11, 100%, $F$11)</f>
        <v>7.8663999999999996</v>
      </c>
      <c r="K352" s="4"/>
      <c r="L352" s="9">
        <v>27.3993</v>
      </c>
      <c r="M352" s="9">
        <v>12.063700000000001</v>
      </c>
      <c r="N352" s="9">
        <v>4.9444999999999997</v>
      </c>
      <c r="O352" s="9">
        <v>0.37459999999999999</v>
      </c>
      <c r="P352" s="9">
        <v>1.2939000000000001</v>
      </c>
      <c r="Q352" s="9">
        <v>20.5288</v>
      </c>
      <c r="R352" s="9"/>
      <c r="S352" s="11"/>
    </row>
    <row r="353" spans="1:19" ht="15.75">
      <c r="A353" s="13">
        <v>52627</v>
      </c>
      <c r="B353" s="8">
        <f>8.5283 * CHOOSE(CONTROL!$C$12, $D$11, 100%, $F$11)</f>
        <v>8.5282999999999998</v>
      </c>
      <c r="C353" s="8">
        <f>8.5387 * CHOOSE(CONTROL!$C$12, $D$11, 100%, $F$11)</f>
        <v>8.5387000000000004</v>
      </c>
      <c r="D353" s="8">
        <f>8.5364 * CHOOSE( CONTROL!$C$12, $D$11, 100%, $F$11)</f>
        <v>8.5364000000000004</v>
      </c>
      <c r="E353" s="12">
        <f>8.5361 * CHOOSE( CONTROL!$C$12, $D$11, 100%, $F$11)</f>
        <v>8.5360999999999994</v>
      </c>
      <c r="F353" s="4">
        <f>9.5512 * CHOOSE(CONTROL!$C$12, $D$11, 100%, $F$11)</f>
        <v>9.5511999999999997</v>
      </c>
      <c r="G353" s="8">
        <f>8.3406 * CHOOSE( CONTROL!$C$12, $D$11, 100%, $F$11)</f>
        <v>8.3406000000000002</v>
      </c>
      <c r="H353" s="4">
        <f>9.234 * CHOOSE(CONTROL!$C$12, $D$11, 100%, $F$11)</f>
        <v>9.234</v>
      </c>
      <c r="I353" s="8">
        <f>8.2797 * CHOOSE(CONTROL!$C$12, $D$11, 100%, $F$11)</f>
        <v>8.2797000000000001</v>
      </c>
      <c r="J353" s="4">
        <f>8.1671 * CHOOSE(CONTROL!$C$12, $D$11, 100%, $F$11)</f>
        <v>8.1670999999999996</v>
      </c>
      <c r="K353" s="4"/>
      <c r="L353" s="9">
        <v>27.3993</v>
      </c>
      <c r="M353" s="9">
        <v>12.063700000000001</v>
      </c>
      <c r="N353" s="9">
        <v>4.9444999999999997</v>
      </c>
      <c r="O353" s="9">
        <v>0.37459999999999999</v>
      </c>
      <c r="P353" s="9">
        <v>1.2939000000000001</v>
      </c>
      <c r="Q353" s="9">
        <v>20.4619</v>
      </c>
      <c r="R353" s="9"/>
      <c r="S353" s="11"/>
    </row>
    <row r="354" spans="1:19" ht="15.75">
      <c r="A354" s="13">
        <v>52655</v>
      </c>
      <c r="B354" s="8">
        <f>7.9773 * CHOOSE(CONTROL!$C$12, $D$11, 100%, $F$11)</f>
        <v>7.9772999999999996</v>
      </c>
      <c r="C354" s="8">
        <f>7.9877 * CHOOSE(CONTROL!$C$12, $D$11, 100%, $F$11)</f>
        <v>7.9877000000000002</v>
      </c>
      <c r="D354" s="8">
        <f>7.9877 * CHOOSE( CONTROL!$C$12, $D$11, 100%, $F$11)</f>
        <v>7.9877000000000002</v>
      </c>
      <c r="E354" s="12">
        <f>7.9866 * CHOOSE( CONTROL!$C$12, $D$11, 100%, $F$11)</f>
        <v>7.9866000000000001</v>
      </c>
      <c r="F354" s="4">
        <f>8.9924 * CHOOSE(CONTROL!$C$12, $D$11, 100%, $F$11)</f>
        <v>8.9923999999999999</v>
      </c>
      <c r="G354" s="8">
        <f>7.8034 * CHOOSE( CONTROL!$C$12, $D$11, 100%, $F$11)</f>
        <v>7.8033999999999999</v>
      </c>
      <c r="H354" s="4">
        <f>8.6893 * CHOOSE(CONTROL!$C$12, $D$11, 100%, $F$11)</f>
        <v>8.6892999999999994</v>
      </c>
      <c r="I354" s="8">
        <f>7.7406 * CHOOSE(CONTROL!$C$12, $D$11, 100%, $F$11)</f>
        <v>7.7405999999999997</v>
      </c>
      <c r="J354" s="4">
        <f>7.6391 * CHOOSE(CONTROL!$C$12, $D$11, 100%, $F$11)</f>
        <v>7.6391</v>
      </c>
      <c r="K354" s="4"/>
      <c r="L354" s="9">
        <v>25.631599999999999</v>
      </c>
      <c r="M354" s="9">
        <v>11.285299999999999</v>
      </c>
      <c r="N354" s="9">
        <v>4.6254999999999997</v>
      </c>
      <c r="O354" s="9">
        <v>0.35039999999999999</v>
      </c>
      <c r="P354" s="9">
        <v>1.2104999999999999</v>
      </c>
      <c r="Q354" s="9">
        <v>19.1417</v>
      </c>
      <c r="R354" s="9"/>
      <c r="S354" s="11"/>
    </row>
    <row r="355" spans="1:19" ht="15.75">
      <c r="A355" s="13">
        <v>52687</v>
      </c>
      <c r="B355" s="8">
        <f>7.8076 * CHOOSE(CONTROL!$C$12, $D$11, 100%, $F$11)</f>
        <v>7.8075999999999999</v>
      </c>
      <c r="C355" s="8">
        <f>7.818 * CHOOSE(CONTROL!$C$12, $D$11, 100%, $F$11)</f>
        <v>7.8179999999999996</v>
      </c>
      <c r="D355" s="8">
        <f>7.7979 * CHOOSE( CONTROL!$C$12, $D$11, 100%, $F$11)</f>
        <v>7.7979000000000003</v>
      </c>
      <c r="E355" s="12">
        <f>7.8041 * CHOOSE( CONTROL!$C$12, $D$11, 100%, $F$11)</f>
        <v>7.8041</v>
      </c>
      <c r="F355" s="4">
        <f>8.8065 * CHOOSE(CONTROL!$C$12, $D$11, 100%, $F$11)</f>
        <v>8.8064999999999998</v>
      </c>
      <c r="G355" s="8">
        <f>7.6175 * CHOOSE( CONTROL!$C$12, $D$11, 100%, $F$11)</f>
        <v>7.6174999999999997</v>
      </c>
      <c r="H355" s="4">
        <f>8.5081 * CHOOSE(CONTROL!$C$12, $D$11, 100%, $F$11)</f>
        <v>8.5081000000000007</v>
      </c>
      <c r="I355" s="8">
        <f>7.5383 * CHOOSE(CONTROL!$C$12, $D$11, 100%, $F$11)</f>
        <v>7.5382999999999996</v>
      </c>
      <c r="J355" s="4">
        <f>7.4765 * CHOOSE(CONTROL!$C$12, $D$11, 100%, $F$11)</f>
        <v>7.4764999999999997</v>
      </c>
      <c r="K355" s="4"/>
      <c r="L355" s="9">
        <v>27.3993</v>
      </c>
      <c r="M355" s="9">
        <v>12.063700000000001</v>
      </c>
      <c r="N355" s="9">
        <v>4.9444999999999997</v>
      </c>
      <c r="O355" s="9">
        <v>0.37459999999999999</v>
      </c>
      <c r="P355" s="9">
        <v>1.2939000000000001</v>
      </c>
      <c r="Q355" s="9">
        <v>20.4619</v>
      </c>
      <c r="R355" s="9"/>
      <c r="S355" s="11"/>
    </row>
    <row r="356" spans="1:19" ht="15.75">
      <c r="A356" s="13">
        <v>52717</v>
      </c>
      <c r="B356" s="8">
        <f>7.9262 * CHOOSE(CONTROL!$C$12, $D$11, 100%, $F$11)</f>
        <v>7.9261999999999997</v>
      </c>
      <c r="C356" s="8">
        <f>7.9366 * CHOOSE(CONTROL!$C$12, $D$11, 100%, $F$11)</f>
        <v>7.9366000000000003</v>
      </c>
      <c r="D356" s="8">
        <f>7.9398 * CHOOSE( CONTROL!$C$12, $D$11, 100%, $F$11)</f>
        <v>7.9398</v>
      </c>
      <c r="E356" s="12">
        <f>7.9376 * CHOOSE( CONTROL!$C$12, $D$11, 100%, $F$11)</f>
        <v>7.9375999999999998</v>
      </c>
      <c r="F356" s="4">
        <f>8.9334 * CHOOSE(CONTROL!$C$12, $D$11, 100%, $F$11)</f>
        <v>8.9334000000000007</v>
      </c>
      <c r="G356" s="8">
        <f>7.7209 * CHOOSE( CONTROL!$C$12, $D$11, 100%, $F$11)</f>
        <v>7.7209000000000003</v>
      </c>
      <c r="H356" s="4">
        <f>8.6318 * CHOOSE(CONTROL!$C$12, $D$11, 100%, $F$11)</f>
        <v>8.6318000000000001</v>
      </c>
      <c r="I356" s="8">
        <f>7.6421 * CHOOSE(CONTROL!$C$12, $D$11, 100%, $F$11)</f>
        <v>7.6421000000000001</v>
      </c>
      <c r="J356" s="4">
        <f>7.5901 * CHOOSE(CONTROL!$C$12, $D$11, 100%, $F$11)</f>
        <v>7.5900999999999996</v>
      </c>
      <c r="K356" s="4"/>
      <c r="L356" s="9">
        <v>27.988800000000001</v>
      </c>
      <c r="M356" s="9">
        <v>11.6745</v>
      </c>
      <c r="N356" s="9">
        <v>4.7850000000000001</v>
      </c>
      <c r="O356" s="9">
        <v>0.36249999999999999</v>
      </c>
      <c r="P356" s="9">
        <v>1.1798</v>
      </c>
      <c r="Q356" s="9">
        <v>19.8018</v>
      </c>
      <c r="R356" s="9"/>
      <c r="S356" s="11"/>
    </row>
    <row r="357" spans="1:19" ht="15.75">
      <c r="A357" s="13">
        <v>52748</v>
      </c>
      <c r="B357" s="8">
        <f>CHOOSE( CONTROL!$C$29, 8.1415, 8.1372) * CHOOSE(CONTROL!$C$12, $D$11, 100%, $F$11)</f>
        <v>8.1415000000000006</v>
      </c>
      <c r="C357" s="8">
        <f>CHOOSE( CONTROL!$C$29, 8.1519, 8.1477) * CHOOSE(CONTROL!$C$12, $D$11, 100%, $F$11)</f>
        <v>8.1518999999999995</v>
      </c>
      <c r="D357" s="8">
        <f>CHOOSE( CONTROL!$C$29, 8.1298, 8.1256) * CHOOSE( CONTROL!$C$12, $D$11, 100%, $F$11)</f>
        <v>8.1297999999999995</v>
      </c>
      <c r="E357" s="12">
        <f>CHOOSE( CONTROL!$C$29, 8.1362, 8.132) * CHOOSE( CONTROL!$C$12, $D$11, 100%, $F$11)</f>
        <v>8.1362000000000005</v>
      </c>
      <c r="F357" s="4">
        <f>CHOOSE( CONTROL!$C$29, 9.1164, 9.1121) * CHOOSE(CONTROL!$C$12, $D$11, 100%, $F$11)</f>
        <v>9.1164000000000005</v>
      </c>
      <c r="G357" s="8">
        <f>CHOOSE( CONTROL!$C$29, 7.912, 7.9079) * CHOOSE( CONTROL!$C$12, $D$11, 100%, $F$11)</f>
        <v>7.9119999999999999</v>
      </c>
      <c r="H357" s="4">
        <f>CHOOSE( CONTROL!$C$29, 8.8101, 8.806) * CHOOSE(CONTROL!$C$12, $D$11, 100%, $F$11)</f>
        <v>8.8101000000000003</v>
      </c>
      <c r="I357" s="8">
        <f>CHOOSE( CONTROL!$C$29, 7.827, 7.8229) * CHOOSE(CONTROL!$C$12, $D$11, 100%, $F$11)</f>
        <v>7.827</v>
      </c>
      <c r="J357" s="4">
        <f>CHOOSE( CONTROL!$C$29, 7.7964, 7.7923) * CHOOSE(CONTROL!$C$12, $D$11, 100%, $F$11)</f>
        <v>7.7964000000000002</v>
      </c>
      <c r="K357" s="4"/>
      <c r="L357" s="9">
        <v>29.520499999999998</v>
      </c>
      <c r="M357" s="9">
        <v>12.063700000000001</v>
      </c>
      <c r="N357" s="9">
        <v>4.9444999999999997</v>
      </c>
      <c r="O357" s="9">
        <v>0.37459999999999999</v>
      </c>
      <c r="P357" s="9">
        <v>1.2192000000000001</v>
      </c>
      <c r="Q357" s="9">
        <v>20.4619</v>
      </c>
      <c r="R357" s="9"/>
      <c r="S357" s="11"/>
    </row>
    <row r="358" spans="1:19" ht="15.75">
      <c r="A358" s="13">
        <v>52778</v>
      </c>
      <c r="B358" s="8">
        <f>CHOOSE( CONTROL!$C$29, 8.0107, 8.0065) * CHOOSE(CONTROL!$C$12, $D$11, 100%, $F$11)</f>
        <v>8.0106999999999999</v>
      </c>
      <c r="C358" s="8">
        <f>CHOOSE( CONTROL!$C$29, 8.0212, 8.0169) * CHOOSE(CONTROL!$C$12, $D$11, 100%, $F$11)</f>
        <v>8.0212000000000003</v>
      </c>
      <c r="D358" s="8">
        <f>CHOOSE( CONTROL!$C$29, 7.9935, 7.9893) * CHOOSE( CONTROL!$C$12, $D$11, 100%, $F$11)</f>
        <v>7.9935</v>
      </c>
      <c r="E358" s="12">
        <f>CHOOSE( CONTROL!$C$29, 8.0019, 7.9977) * CHOOSE( CONTROL!$C$12, $D$11, 100%, $F$11)</f>
        <v>8.0018999999999991</v>
      </c>
      <c r="F358" s="4">
        <f>CHOOSE( CONTROL!$C$29, 8.9752, 8.971) * CHOOSE(CONTROL!$C$12, $D$11, 100%, $F$11)</f>
        <v>8.9751999999999992</v>
      </c>
      <c r="G358" s="8">
        <f>CHOOSE( CONTROL!$C$29, 7.7833, 7.7792) * CHOOSE( CONTROL!$C$12, $D$11, 100%, $F$11)</f>
        <v>7.7832999999999997</v>
      </c>
      <c r="H358" s="4">
        <f>CHOOSE( CONTROL!$C$29, 8.6725, 8.6684) * CHOOSE(CONTROL!$C$12, $D$11, 100%, $F$11)</f>
        <v>8.6724999999999994</v>
      </c>
      <c r="I358" s="8">
        <f>CHOOSE( CONTROL!$C$29, 7.7038, 7.6998) * CHOOSE(CONTROL!$C$12, $D$11, 100%, $F$11)</f>
        <v>7.7038000000000002</v>
      </c>
      <c r="J358" s="4">
        <f>CHOOSE( CONTROL!$C$29, 7.6711, 7.6671) * CHOOSE(CONTROL!$C$12, $D$11, 100%, $F$11)</f>
        <v>7.6711</v>
      </c>
      <c r="K358" s="4"/>
      <c r="L358" s="9">
        <v>28.568200000000001</v>
      </c>
      <c r="M358" s="9">
        <v>11.6745</v>
      </c>
      <c r="N358" s="9">
        <v>4.7850000000000001</v>
      </c>
      <c r="O358" s="9">
        <v>0.36249999999999999</v>
      </c>
      <c r="P358" s="9">
        <v>1.1798</v>
      </c>
      <c r="Q358" s="9">
        <v>19.8018</v>
      </c>
      <c r="R358" s="9"/>
      <c r="S358" s="11"/>
    </row>
    <row r="359" spans="1:19" ht="15.75">
      <c r="A359" s="13">
        <v>52809</v>
      </c>
      <c r="B359" s="8">
        <f>CHOOSE( CONTROL!$C$29, 8.355, 8.3508) * CHOOSE(CONTROL!$C$12, $D$11, 100%, $F$11)</f>
        <v>8.3550000000000004</v>
      </c>
      <c r="C359" s="8">
        <f>CHOOSE( CONTROL!$C$29, 8.3655, 8.3612) * CHOOSE(CONTROL!$C$12, $D$11, 100%, $F$11)</f>
        <v>8.3655000000000008</v>
      </c>
      <c r="D359" s="8">
        <f>CHOOSE( CONTROL!$C$29, 8.3716, 8.3674) * CHOOSE( CONTROL!$C$12, $D$11, 100%, $F$11)</f>
        <v>8.3716000000000008</v>
      </c>
      <c r="E359" s="12">
        <f>CHOOSE( CONTROL!$C$29, 8.3678, 8.3636) * CHOOSE( CONTROL!$C$12, $D$11, 100%, $F$11)</f>
        <v>8.3678000000000008</v>
      </c>
      <c r="F359" s="4">
        <f>CHOOSE( CONTROL!$C$29, 9.3649, 9.3607) * CHOOSE(CONTROL!$C$12, $D$11, 100%, $F$11)</f>
        <v>9.3649000000000004</v>
      </c>
      <c r="G359" s="8">
        <f>CHOOSE( CONTROL!$C$29, 8.145, 8.1409) * CHOOSE( CONTROL!$C$12, $D$11, 100%, $F$11)</f>
        <v>8.1449999999999996</v>
      </c>
      <c r="H359" s="4">
        <f>CHOOSE( CONTROL!$C$29, 9.0524, 9.0483) * CHOOSE(CONTROL!$C$12, $D$11, 100%, $F$11)</f>
        <v>9.0524000000000004</v>
      </c>
      <c r="I359" s="8">
        <f>CHOOSE( CONTROL!$C$29, 8.0892, 8.0851) * CHOOSE(CONTROL!$C$12, $D$11, 100%, $F$11)</f>
        <v>8.0891999999999999</v>
      </c>
      <c r="J359" s="4">
        <f>CHOOSE( CONTROL!$C$29, 8.001, 7.997) * CHOOSE(CONTROL!$C$12, $D$11, 100%, $F$11)</f>
        <v>8.0009999999999994</v>
      </c>
      <c r="K359" s="4"/>
      <c r="L359" s="9">
        <v>29.520499999999998</v>
      </c>
      <c r="M359" s="9">
        <v>12.063700000000001</v>
      </c>
      <c r="N359" s="9">
        <v>4.9444999999999997</v>
      </c>
      <c r="O359" s="9">
        <v>0.37459999999999999</v>
      </c>
      <c r="P359" s="9">
        <v>1.2192000000000001</v>
      </c>
      <c r="Q359" s="9">
        <v>20.4619</v>
      </c>
      <c r="R359" s="9"/>
      <c r="S359" s="11"/>
    </row>
    <row r="360" spans="1:19" ht="15.75">
      <c r="A360" s="13">
        <v>52840</v>
      </c>
      <c r="B360" s="8">
        <f>CHOOSE( CONTROL!$C$29, 7.7108, 7.7066) * CHOOSE(CONTROL!$C$12, $D$11, 100%, $F$11)</f>
        <v>7.7107999999999999</v>
      </c>
      <c r="C360" s="8">
        <f>CHOOSE( CONTROL!$C$29, 7.7212, 7.717) * CHOOSE(CONTROL!$C$12, $D$11, 100%, $F$11)</f>
        <v>7.7211999999999996</v>
      </c>
      <c r="D360" s="8">
        <f>CHOOSE( CONTROL!$C$29, 7.7438, 7.7396) * CHOOSE( CONTROL!$C$12, $D$11, 100%, $F$11)</f>
        <v>7.7438000000000002</v>
      </c>
      <c r="E360" s="12">
        <f>CHOOSE( CONTROL!$C$29, 7.734, 7.7298) * CHOOSE( CONTROL!$C$12, $D$11, 100%, $F$11)</f>
        <v>7.734</v>
      </c>
      <c r="F360" s="4">
        <f>CHOOSE( CONTROL!$C$29, 8.7494, 8.7451) * CHOOSE(CONTROL!$C$12, $D$11, 100%, $F$11)</f>
        <v>8.7493999999999996</v>
      </c>
      <c r="G360" s="8">
        <f>CHOOSE( CONTROL!$C$29, 7.5226, 7.5185) * CHOOSE( CONTROL!$C$12, $D$11, 100%, $F$11)</f>
        <v>7.5225999999999997</v>
      </c>
      <c r="H360" s="4">
        <f>CHOOSE( CONTROL!$C$29, 8.4524, 8.4482) * CHOOSE(CONTROL!$C$12, $D$11, 100%, $F$11)</f>
        <v>8.4524000000000008</v>
      </c>
      <c r="I360" s="8">
        <f>CHOOSE( CONTROL!$C$29, 7.463, 7.459) * CHOOSE(CONTROL!$C$12, $D$11, 100%, $F$11)</f>
        <v>7.4630000000000001</v>
      </c>
      <c r="J360" s="4">
        <f>CHOOSE( CONTROL!$C$29, 7.3837, 7.3797) * CHOOSE(CONTROL!$C$12, $D$11, 100%, $F$11)</f>
        <v>7.3837000000000002</v>
      </c>
      <c r="K360" s="4"/>
      <c r="L360" s="9">
        <v>29.520499999999998</v>
      </c>
      <c r="M360" s="9">
        <v>12.063700000000001</v>
      </c>
      <c r="N360" s="9">
        <v>4.9444999999999997</v>
      </c>
      <c r="O360" s="9">
        <v>0.37459999999999999</v>
      </c>
      <c r="P360" s="9">
        <v>1.2192000000000001</v>
      </c>
      <c r="Q360" s="9">
        <v>20.4619</v>
      </c>
      <c r="R360" s="9"/>
      <c r="S360" s="11"/>
    </row>
    <row r="361" spans="1:19" ht="15.75">
      <c r="A361" s="13">
        <v>52870</v>
      </c>
      <c r="B361" s="8">
        <f>CHOOSE( CONTROL!$C$29, 7.5495, 7.5452) * CHOOSE(CONTROL!$C$12, $D$11, 100%, $F$11)</f>
        <v>7.5495000000000001</v>
      </c>
      <c r="C361" s="8">
        <f>CHOOSE( CONTROL!$C$29, 7.5599, 7.5557) * CHOOSE(CONTROL!$C$12, $D$11, 100%, $F$11)</f>
        <v>7.5598999999999998</v>
      </c>
      <c r="D361" s="8">
        <f>CHOOSE( CONTROL!$C$29, 7.5825, 7.5782) * CHOOSE( CONTROL!$C$12, $D$11, 100%, $F$11)</f>
        <v>7.5824999999999996</v>
      </c>
      <c r="E361" s="12">
        <f>CHOOSE( CONTROL!$C$29, 7.5727, 7.5684) * CHOOSE( CONTROL!$C$12, $D$11, 100%, $F$11)</f>
        <v>7.5727000000000002</v>
      </c>
      <c r="F361" s="4">
        <f>CHOOSE( CONTROL!$C$29, 8.588, 8.5838) * CHOOSE(CONTROL!$C$12, $D$11, 100%, $F$11)</f>
        <v>8.5879999999999992</v>
      </c>
      <c r="G361" s="8">
        <f>CHOOSE( CONTROL!$C$29, 7.365, 7.3609) * CHOOSE( CONTROL!$C$12, $D$11, 100%, $F$11)</f>
        <v>7.3650000000000002</v>
      </c>
      <c r="H361" s="4">
        <f>CHOOSE( CONTROL!$C$29, 8.2951, 8.291) * CHOOSE(CONTROL!$C$12, $D$11, 100%, $F$11)</f>
        <v>8.2950999999999997</v>
      </c>
      <c r="I361" s="8">
        <f>CHOOSE( CONTROL!$C$29, 7.3067, 7.3026) * CHOOSE(CONTROL!$C$12, $D$11, 100%, $F$11)</f>
        <v>7.3067000000000002</v>
      </c>
      <c r="J361" s="4">
        <f>CHOOSE( CONTROL!$C$29, 7.2292, 7.2251) * CHOOSE(CONTROL!$C$12, $D$11, 100%, $F$11)</f>
        <v>7.2291999999999996</v>
      </c>
      <c r="K361" s="4"/>
      <c r="L361" s="9">
        <v>28.568200000000001</v>
      </c>
      <c r="M361" s="9">
        <v>11.6745</v>
      </c>
      <c r="N361" s="9">
        <v>4.7850000000000001</v>
      </c>
      <c r="O361" s="9">
        <v>0.36249999999999999</v>
      </c>
      <c r="P361" s="9">
        <v>1.1798</v>
      </c>
      <c r="Q361" s="9">
        <v>19.8018</v>
      </c>
      <c r="R361" s="9"/>
      <c r="S361" s="11"/>
    </row>
    <row r="362" spans="1:19" ht="15.75">
      <c r="A362" s="13">
        <v>52901</v>
      </c>
      <c r="B362" s="8">
        <f>7.8802 * CHOOSE(CONTROL!$C$12, $D$11, 100%, $F$11)</f>
        <v>7.8802000000000003</v>
      </c>
      <c r="C362" s="8">
        <f>7.8906 * CHOOSE(CONTROL!$C$12, $D$11, 100%, $F$11)</f>
        <v>7.8906000000000001</v>
      </c>
      <c r="D362" s="8">
        <f>7.8951 * CHOOSE( CONTROL!$C$12, $D$11, 100%, $F$11)</f>
        <v>7.8951000000000002</v>
      </c>
      <c r="E362" s="12">
        <f>7.8925 * CHOOSE( CONTROL!$C$12, $D$11, 100%, $F$11)</f>
        <v>7.8925000000000001</v>
      </c>
      <c r="F362" s="4">
        <f>8.8875 * CHOOSE(CONTROL!$C$12, $D$11, 100%, $F$11)</f>
        <v>8.8874999999999993</v>
      </c>
      <c r="G362" s="8">
        <f>7.6777 * CHOOSE( CONTROL!$C$12, $D$11, 100%, $F$11)</f>
        <v>7.6776999999999997</v>
      </c>
      <c r="H362" s="4">
        <f>8.587 * CHOOSE(CONTROL!$C$12, $D$11, 100%, $F$11)</f>
        <v>8.5869999999999997</v>
      </c>
      <c r="I362" s="8">
        <f>7.6204 * CHOOSE(CONTROL!$C$12, $D$11, 100%, $F$11)</f>
        <v>7.6204000000000001</v>
      </c>
      <c r="J362" s="4">
        <f>7.546 * CHOOSE(CONTROL!$C$12, $D$11, 100%, $F$11)</f>
        <v>7.5460000000000003</v>
      </c>
      <c r="K362" s="4"/>
      <c r="L362" s="9">
        <v>28.921800000000001</v>
      </c>
      <c r="M362" s="9">
        <v>12.063700000000001</v>
      </c>
      <c r="N362" s="9">
        <v>4.9444999999999997</v>
      </c>
      <c r="O362" s="9">
        <v>0.37459999999999999</v>
      </c>
      <c r="P362" s="9">
        <v>1.2192000000000001</v>
      </c>
      <c r="Q362" s="9">
        <v>20.4619</v>
      </c>
      <c r="R362" s="9"/>
      <c r="S362" s="11"/>
    </row>
    <row r="363" spans="1:19" ht="15.75">
      <c r="A363" s="13">
        <v>52931</v>
      </c>
      <c r="B363" s="8">
        <f>8.4985 * CHOOSE(CONTROL!$C$12, $D$11, 100%, $F$11)</f>
        <v>8.4984999999999999</v>
      </c>
      <c r="C363" s="8">
        <f>8.5089 * CHOOSE(CONTROL!$C$12, $D$11, 100%, $F$11)</f>
        <v>8.5089000000000006</v>
      </c>
      <c r="D363" s="8">
        <f>8.4913 * CHOOSE( CONTROL!$C$12, $D$11, 100%, $F$11)</f>
        <v>8.4913000000000007</v>
      </c>
      <c r="E363" s="12">
        <f>8.4966 * CHOOSE( CONTROL!$C$12, $D$11, 100%, $F$11)</f>
        <v>8.4966000000000008</v>
      </c>
      <c r="F363" s="4">
        <f>9.4927 * CHOOSE(CONTROL!$C$12, $D$11, 100%, $F$11)</f>
        <v>9.4926999999999992</v>
      </c>
      <c r="G363" s="8">
        <f>8.2929 * CHOOSE( CONTROL!$C$12, $D$11, 100%, $F$11)</f>
        <v>8.2928999999999995</v>
      </c>
      <c r="H363" s="4">
        <f>9.177 * CHOOSE(CONTROL!$C$12, $D$11, 100%, $F$11)</f>
        <v>9.1769999999999996</v>
      </c>
      <c r="I363" s="8">
        <f>8.2365 * CHOOSE(CONTROL!$C$12, $D$11, 100%, $F$11)</f>
        <v>8.2364999999999995</v>
      </c>
      <c r="J363" s="4">
        <f>8.1385 * CHOOSE(CONTROL!$C$12, $D$11, 100%, $F$11)</f>
        <v>8.1385000000000005</v>
      </c>
      <c r="K363" s="4"/>
      <c r="L363" s="9">
        <v>26.515499999999999</v>
      </c>
      <c r="M363" s="9">
        <v>11.6745</v>
      </c>
      <c r="N363" s="9">
        <v>4.7850000000000001</v>
      </c>
      <c r="O363" s="9">
        <v>0.36249999999999999</v>
      </c>
      <c r="P363" s="9">
        <v>1.2522</v>
      </c>
      <c r="Q363" s="9">
        <v>19.8018</v>
      </c>
      <c r="R363" s="9"/>
      <c r="S363" s="11"/>
    </row>
    <row r="364" spans="1:19" ht="15.75">
      <c r="A364" s="13">
        <v>52962</v>
      </c>
      <c r="B364" s="8">
        <f>8.483 * CHOOSE(CONTROL!$C$12, $D$11, 100%, $F$11)</f>
        <v>8.4830000000000005</v>
      </c>
      <c r="C364" s="8">
        <f>8.4935 * CHOOSE(CONTROL!$C$12, $D$11, 100%, $F$11)</f>
        <v>8.4934999999999992</v>
      </c>
      <c r="D364" s="8">
        <f>8.4779 * CHOOSE( CONTROL!$C$12, $D$11, 100%, $F$11)</f>
        <v>8.4779</v>
      </c>
      <c r="E364" s="12">
        <f>8.4825 * CHOOSE( CONTROL!$C$12, $D$11, 100%, $F$11)</f>
        <v>8.4824999999999999</v>
      </c>
      <c r="F364" s="4">
        <f>9.4772 * CHOOSE(CONTROL!$C$12, $D$11, 100%, $F$11)</f>
        <v>9.4771999999999998</v>
      </c>
      <c r="G364" s="8">
        <f>8.2793 * CHOOSE( CONTROL!$C$12, $D$11, 100%, $F$11)</f>
        <v>8.2792999999999992</v>
      </c>
      <c r="H364" s="4">
        <f>9.1619 * CHOOSE(CONTROL!$C$12, $D$11, 100%, $F$11)</f>
        <v>9.1618999999999993</v>
      </c>
      <c r="I364" s="8">
        <f>8.229 * CHOOSE(CONTROL!$C$12, $D$11, 100%, $F$11)</f>
        <v>8.2289999999999992</v>
      </c>
      <c r="J364" s="4">
        <f>8.1237 * CHOOSE(CONTROL!$C$12, $D$11, 100%, $F$11)</f>
        <v>8.1236999999999995</v>
      </c>
      <c r="K364" s="4"/>
      <c r="L364" s="9">
        <v>27.3993</v>
      </c>
      <c r="M364" s="9">
        <v>12.063700000000001</v>
      </c>
      <c r="N364" s="9">
        <v>4.9444999999999997</v>
      </c>
      <c r="O364" s="9">
        <v>0.37459999999999999</v>
      </c>
      <c r="P364" s="9">
        <v>1.2939000000000001</v>
      </c>
      <c r="Q364" s="9">
        <v>20.4619</v>
      </c>
      <c r="R364" s="9"/>
      <c r="S364" s="11"/>
    </row>
    <row r="365" spans="1:19" ht="15.75">
      <c r="A365" s="13">
        <v>52993</v>
      </c>
      <c r="B365" s="8">
        <f>8.8071 * CHOOSE(CONTROL!$C$12, $D$11, 100%, $F$11)</f>
        <v>8.8071000000000002</v>
      </c>
      <c r="C365" s="8">
        <f>8.8175 * CHOOSE(CONTROL!$C$12, $D$11, 100%, $F$11)</f>
        <v>8.8175000000000008</v>
      </c>
      <c r="D365" s="8">
        <f>8.8151 * CHOOSE( CONTROL!$C$12, $D$11, 100%, $F$11)</f>
        <v>8.8150999999999993</v>
      </c>
      <c r="E365" s="12">
        <f>8.8149 * CHOOSE( CONTROL!$C$12, $D$11, 100%, $F$11)</f>
        <v>8.8148999999999997</v>
      </c>
      <c r="F365" s="4">
        <f>9.83 * CHOOSE(CONTROL!$C$12, $D$11, 100%, $F$11)</f>
        <v>9.83</v>
      </c>
      <c r="G365" s="8">
        <f>8.6124 * CHOOSE( CONTROL!$C$12, $D$11, 100%, $F$11)</f>
        <v>8.6123999999999992</v>
      </c>
      <c r="H365" s="4">
        <f>9.5057 * CHOOSE(CONTROL!$C$12, $D$11, 100%, $F$11)</f>
        <v>9.5056999999999992</v>
      </c>
      <c r="I365" s="8">
        <f>8.547 * CHOOSE(CONTROL!$C$12, $D$11, 100%, $F$11)</f>
        <v>8.5470000000000006</v>
      </c>
      <c r="J365" s="4">
        <f>8.4342 * CHOOSE(CONTROL!$C$12, $D$11, 100%, $F$11)</f>
        <v>8.4342000000000006</v>
      </c>
      <c r="K365" s="4"/>
      <c r="L365" s="9">
        <v>27.3993</v>
      </c>
      <c r="M365" s="9">
        <v>12.063700000000001</v>
      </c>
      <c r="N365" s="9">
        <v>4.9444999999999997</v>
      </c>
      <c r="O365" s="9">
        <v>0.37459999999999999</v>
      </c>
      <c r="P365" s="9">
        <v>1.2939000000000001</v>
      </c>
      <c r="Q365" s="9">
        <v>20.396799999999999</v>
      </c>
      <c r="R365" s="9"/>
      <c r="S365" s="11"/>
    </row>
    <row r="366" spans="1:19" ht="15.75">
      <c r="A366" s="13">
        <v>53021</v>
      </c>
      <c r="B366" s="8">
        <f>8.238 * CHOOSE(CONTROL!$C$12, $D$11, 100%, $F$11)</f>
        <v>8.2379999999999995</v>
      </c>
      <c r="C366" s="8">
        <f>8.2485 * CHOOSE(CONTROL!$C$12, $D$11, 100%, $F$11)</f>
        <v>8.2484999999999999</v>
      </c>
      <c r="D366" s="8">
        <f>8.2484 * CHOOSE( CONTROL!$C$12, $D$11, 100%, $F$11)</f>
        <v>8.2484000000000002</v>
      </c>
      <c r="E366" s="12">
        <f>8.2473 * CHOOSE( CONTROL!$C$12, $D$11, 100%, $F$11)</f>
        <v>8.2472999999999992</v>
      </c>
      <c r="F366" s="4">
        <f>9.2531 * CHOOSE(CONTROL!$C$12, $D$11, 100%, $F$11)</f>
        <v>9.2530999999999999</v>
      </c>
      <c r="G366" s="8">
        <f>8.0575 * CHOOSE( CONTROL!$C$12, $D$11, 100%, $F$11)</f>
        <v>8.0574999999999992</v>
      </c>
      <c r="H366" s="4">
        <f>8.9434 * CHOOSE(CONTROL!$C$12, $D$11, 100%, $F$11)</f>
        <v>8.9434000000000005</v>
      </c>
      <c r="I366" s="8">
        <f>7.9905 * CHOOSE(CONTROL!$C$12, $D$11, 100%, $F$11)</f>
        <v>7.9904999999999999</v>
      </c>
      <c r="J366" s="4">
        <f>7.8889 * CHOOSE(CONTROL!$C$12, $D$11, 100%, $F$11)</f>
        <v>7.8888999999999996</v>
      </c>
      <c r="K366" s="4"/>
      <c r="L366" s="9">
        <v>24.747800000000002</v>
      </c>
      <c r="M366" s="9">
        <v>10.8962</v>
      </c>
      <c r="N366" s="9">
        <v>4.4660000000000002</v>
      </c>
      <c r="O366" s="9">
        <v>0.33829999999999999</v>
      </c>
      <c r="P366" s="9">
        <v>1.1687000000000001</v>
      </c>
      <c r="Q366" s="9">
        <v>18.422899999999998</v>
      </c>
      <c r="R366" s="9"/>
      <c r="S366" s="11"/>
    </row>
    <row r="367" spans="1:19" ht="15.75">
      <c r="A367" s="13">
        <v>53052</v>
      </c>
      <c r="B367" s="8">
        <f>8.0628 * CHOOSE(CONTROL!$C$12, $D$11, 100%, $F$11)</f>
        <v>8.0627999999999993</v>
      </c>
      <c r="C367" s="8">
        <f>8.0732 * CHOOSE(CONTROL!$C$12, $D$11, 100%, $F$11)</f>
        <v>8.0731999999999999</v>
      </c>
      <c r="D367" s="8">
        <f>8.053 * CHOOSE( CONTROL!$C$12, $D$11, 100%, $F$11)</f>
        <v>8.0530000000000008</v>
      </c>
      <c r="E367" s="12">
        <f>8.0593 * CHOOSE( CONTROL!$C$12, $D$11, 100%, $F$11)</f>
        <v>8.0593000000000004</v>
      </c>
      <c r="F367" s="4">
        <f>9.0617 * CHOOSE(CONTROL!$C$12, $D$11, 100%, $F$11)</f>
        <v>9.0617000000000001</v>
      </c>
      <c r="G367" s="8">
        <f>7.8662 * CHOOSE( CONTROL!$C$12, $D$11, 100%, $F$11)</f>
        <v>7.8662000000000001</v>
      </c>
      <c r="H367" s="4">
        <f>8.7568 * CHOOSE(CONTROL!$C$12, $D$11, 100%, $F$11)</f>
        <v>8.7568000000000001</v>
      </c>
      <c r="I367" s="8">
        <f>7.783 * CHOOSE(CONTROL!$C$12, $D$11, 100%, $F$11)</f>
        <v>7.7830000000000004</v>
      </c>
      <c r="J367" s="4">
        <f>7.721 * CHOOSE(CONTROL!$C$12, $D$11, 100%, $F$11)</f>
        <v>7.7210000000000001</v>
      </c>
      <c r="K367" s="4"/>
      <c r="L367" s="9">
        <v>27.3993</v>
      </c>
      <c r="M367" s="9">
        <v>12.063700000000001</v>
      </c>
      <c r="N367" s="9">
        <v>4.9444999999999997</v>
      </c>
      <c r="O367" s="9">
        <v>0.37459999999999999</v>
      </c>
      <c r="P367" s="9">
        <v>1.2939000000000001</v>
      </c>
      <c r="Q367" s="9">
        <v>20.396799999999999</v>
      </c>
      <c r="R367" s="9"/>
      <c r="S367" s="11"/>
    </row>
    <row r="368" spans="1:19" ht="15.75">
      <c r="A368" s="13">
        <v>53082</v>
      </c>
      <c r="B368" s="8">
        <f>8.1852 * CHOOSE(CONTROL!$C$12, $D$11, 100%, $F$11)</f>
        <v>8.1852</v>
      </c>
      <c r="C368" s="8">
        <f>8.1957 * CHOOSE(CONTROL!$C$12, $D$11, 100%, $F$11)</f>
        <v>8.1957000000000004</v>
      </c>
      <c r="D368" s="8">
        <f>8.1989 * CHOOSE( CONTROL!$C$12, $D$11, 100%, $F$11)</f>
        <v>8.1989000000000001</v>
      </c>
      <c r="E368" s="12">
        <f>8.1966 * CHOOSE( CONTROL!$C$12, $D$11, 100%, $F$11)</f>
        <v>8.1966000000000001</v>
      </c>
      <c r="F368" s="4">
        <f>9.1925 * CHOOSE(CONTROL!$C$12, $D$11, 100%, $F$11)</f>
        <v>9.1925000000000008</v>
      </c>
      <c r="G368" s="8">
        <f>7.9735 * CHOOSE( CONTROL!$C$12, $D$11, 100%, $F$11)</f>
        <v>7.9734999999999996</v>
      </c>
      <c r="H368" s="4">
        <f>8.8843 * CHOOSE(CONTROL!$C$12, $D$11, 100%, $F$11)</f>
        <v>8.8842999999999996</v>
      </c>
      <c r="I368" s="8">
        <f>7.8905 * CHOOSE(CONTROL!$C$12, $D$11, 100%, $F$11)</f>
        <v>7.8905000000000003</v>
      </c>
      <c r="J368" s="4">
        <f>7.8383 * CHOOSE(CONTROL!$C$12, $D$11, 100%, $F$11)</f>
        <v>7.8383000000000003</v>
      </c>
      <c r="K368" s="4"/>
      <c r="L368" s="9">
        <v>27.988800000000001</v>
      </c>
      <c r="M368" s="9">
        <v>11.6745</v>
      </c>
      <c r="N368" s="9">
        <v>4.7850000000000001</v>
      </c>
      <c r="O368" s="9">
        <v>0.36249999999999999</v>
      </c>
      <c r="P368" s="9">
        <v>1.1798</v>
      </c>
      <c r="Q368" s="9">
        <v>19.738800000000001</v>
      </c>
      <c r="R368" s="9"/>
      <c r="S368" s="11"/>
    </row>
    <row r="369" spans="1:19" ht="15.75">
      <c r="A369" s="13">
        <v>53113</v>
      </c>
      <c r="B369" s="8">
        <f>CHOOSE( CONTROL!$C$29, 8.4074, 8.4032) * CHOOSE(CONTROL!$C$12, $D$11, 100%, $F$11)</f>
        <v>8.4074000000000009</v>
      </c>
      <c r="C369" s="8">
        <f>CHOOSE( CONTROL!$C$29, 8.4179, 8.4136) * CHOOSE(CONTROL!$C$12, $D$11, 100%, $F$11)</f>
        <v>8.4178999999999995</v>
      </c>
      <c r="D369" s="8">
        <f>CHOOSE( CONTROL!$C$29, 8.3958, 8.3915) * CHOOSE( CONTROL!$C$12, $D$11, 100%, $F$11)</f>
        <v>8.3957999999999995</v>
      </c>
      <c r="E369" s="12">
        <f>CHOOSE( CONTROL!$C$29, 8.4022, 8.3979) * CHOOSE( CONTROL!$C$12, $D$11, 100%, $F$11)</f>
        <v>8.4022000000000006</v>
      </c>
      <c r="F369" s="4">
        <f>CHOOSE( CONTROL!$C$29, 9.3823, 9.3781) * CHOOSE(CONTROL!$C$12, $D$11, 100%, $F$11)</f>
        <v>9.3823000000000008</v>
      </c>
      <c r="G369" s="8">
        <f>CHOOSE( CONTROL!$C$29, 8.1713, 8.1672) * CHOOSE( CONTROL!$C$12, $D$11, 100%, $F$11)</f>
        <v>8.1713000000000005</v>
      </c>
      <c r="H369" s="4">
        <f>CHOOSE( CONTROL!$C$29, 9.0694, 9.0652) * CHOOSE(CONTROL!$C$12, $D$11, 100%, $F$11)</f>
        <v>9.0693999999999999</v>
      </c>
      <c r="I369" s="8">
        <f>CHOOSE( CONTROL!$C$29, 8.082, 8.0779) * CHOOSE(CONTROL!$C$12, $D$11, 100%, $F$11)</f>
        <v>8.0820000000000007</v>
      </c>
      <c r="J369" s="4">
        <f>CHOOSE( CONTROL!$C$29, 8.0512, 8.0472) * CHOOSE(CONTROL!$C$12, $D$11, 100%, $F$11)</f>
        <v>8.0511999999999997</v>
      </c>
      <c r="K369" s="4"/>
      <c r="L369" s="9">
        <v>29.520499999999998</v>
      </c>
      <c r="M369" s="9">
        <v>12.063700000000001</v>
      </c>
      <c r="N369" s="9">
        <v>4.9444999999999997</v>
      </c>
      <c r="O369" s="9">
        <v>0.37459999999999999</v>
      </c>
      <c r="P369" s="9">
        <v>1.2192000000000001</v>
      </c>
      <c r="Q369" s="9">
        <v>20.396799999999999</v>
      </c>
      <c r="R369" s="9"/>
      <c r="S369" s="11"/>
    </row>
    <row r="370" spans="1:19" ht="15.75">
      <c r="A370" s="13">
        <v>53143</v>
      </c>
      <c r="B370" s="8">
        <f>CHOOSE( CONTROL!$C$29, 8.2724, 8.2682) * CHOOSE(CONTROL!$C$12, $D$11, 100%, $F$11)</f>
        <v>8.2723999999999993</v>
      </c>
      <c r="C370" s="8">
        <f>CHOOSE( CONTROL!$C$29, 8.2828, 8.2786) * CHOOSE(CONTROL!$C$12, $D$11, 100%, $F$11)</f>
        <v>8.2827999999999999</v>
      </c>
      <c r="D370" s="8">
        <f>CHOOSE( CONTROL!$C$29, 8.2552, 8.2509) * CHOOSE( CONTROL!$C$12, $D$11, 100%, $F$11)</f>
        <v>8.2552000000000003</v>
      </c>
      <c r="E370" s="12">
        <f>CHOOSE( CONTROL!$C$29, 8.2636, 8.2594) * CHOOSE( CONTROL!$C$12, $D$11, 100%, $F$11)</f>
        <v>8.2636000000000003</v>
      </c>
      <c r="F370" s="4">
        <f>CHOOSE( CONTROL!$C$29, 9.2369, 9.2326) * CHOOSE(CONTROL!$C$12, $D$11, 100%, $F$11)</f>
        <v>9.2369000000000003</v>
      </c>
      <c r="G370" s="8">
        <f>CHOOSE( CONTROL!$C$29, 8.0384, 8.0343) * CHOOSE( CONTROL!$C$12, $D$11, 100%, $F$11)</f>
        <v>8.0383999999999993</v>
      </c>
      <c r="H370" s="4">
        <f>CHOOSE( CONTROL!$C$29, 8.9276, 8.9235) * CHOOSE(CONTROL!$C$12, $D$11, 100%, $F$11)</f>
        <v>8.9276</v>
      </c>
      <c r="I370" s="8">
        <f>CHOOSE( CONTROL!$C$29, 7.9547, 7.9506) * CHOOSE(CONTROL!$C$12, $D$11, 100%, $F$11)</f>
        <v>7.9546999999999999</v>
      </c>
      <c r="J370" s="4">
        <f>CHOOSE( CONTROL!$C$29, 7.9219, 7.9178) * CHOOSE(CONTROL!$C$12, $D$11, 100%, $F$11)</f>
        <v>7.9218999999999999</v>
      </c>
      <c r="K370" s="4"/>
      <c r="L370" s="9">
        <v>28.568200000000001</v>
      </c>
      <c r="M370" s="9">
        <v>11.6745</v>
      </c>
      <c r="N370" s="9">
        <v>4.7850000000000001</v>
      </c>
      <c r="O370" s="9">
        <v>0.36249999999999999</v>
      </c>
      <c r="P370" s="9">
        <v>1.1798</v>
      </c>
      <c r="Q370" s="9">
        <v>19.738800000000001</v>
      </c>
      <c r="R370" s="9"/>
      <c r="S370" s="11"/>
    </row>
    <row r="371" spans="1:19" ht="15.75">
      <c r="A371" s="13">
        <v>53174</v>
      </c>
      <c r="B371" s="8">
        <f>CHOOSE( CONTROL!$C$29, 8.628, 8.6237) * CHOOSE(CONTROL!$C$12, $D$11, 100%, $F$11)</f>
        <v>8.6280000000000001</v>
      </c>
      <c r="C371" s="8">
        <f>CHOOSE( CONTROL!$C$29, 8.6384, 8.6342) * CHOOSE(CONTROL!$C$12, $D$11, 100%, $F$11)</f>
        <v>8.6384000000000007</v>
      </c>
      <c r="D371" s="8">
        <f>CHOOSE( CONTROL!$C$29, 8.6445, 8.6403) * CHOOSE( CONTROL!$C$12, $D$11, 100%, $F$11)</f>
        <v>8.6445000000000007</v>
      </c>
      <c r="E371" s="12">
        <f>CHOOSE( CONTROL!$C$29, 8.6407, 8.6365) * CHOOSE( CONTROL!$C$12, $D$11, 100%, $F$11)</f>
        <v>8.6407000000000007</v>
      </c>
      <c r="F371" s="4">
        <f>CHOOSE( CONTROL!$C$29, 9.6378, 9.6336) * CHOOSE(CONTROL!$C$12, $D$11, 100%, $F$11)</f>
        <v>9.6378000000000004</v>
      </c>
      <c r="G371" s="8">
        <f>CHOOSE( CONTROL!$C$29, 8.4111, 8.4069) * CHOOSE( CONTROL!$C$12, $D$11, 100%, $F$11)</f>
        <v>8.4110999999999994</v>
      </c>
      <c r="H371" s="4">
        <f>CHOOSE( CONTROL!$C$29, 9.3184, 9.3143) * CHOOSE(CONTROL!$C$12, $D$11, 100%, $F$11)</f>
        <v>9.3184000000000005</v>
      </c>
      <c r="I371" s="8">
        <f>CHOOSE( CONTROL!$C$29, 8.3509, 8.3468) * CHOOSE(CONTROL!$C$12, $D$11, 100%, $F$11)</f>
        <v>8.3508999999999993</v>
      </c>
      <c r="J371" s="4">
        <f>CHOOSE( CONTROL!$C$29, 8.2626, 8.2585) * CHOOSE(CONTROL!$C$12, $D$11, 100%, $F$11)</f>
        <v>8.2626000000000008</v>
      </c>
      <c r="K371" s="4"/>
      <c r="L371" s="9">
        <v>29.520499999999998</v>
      </c>
      <c r="M371" s="9">
        <v>12.063700000000001</v>
      </c>
      <c r="N371" s="9">
        <v>4.9444999999999997</v>
      </c>
      <c r="O371" s="9">
        <v>0.37459999999999999</v>
      </c>
      <c r="P371" s="9">
        <v>1.2192000000000001</v>
      </c>
      <c r="Q371" s="9">
        <v>20.396799999999999</v>
      </c>
      <c r="R371" s="9"/>
      <c r="S371" s="11"/>
    </row>
    <row r="372" spans="1:19" ht="15.75">
      <c r="A372" s="13">
        <v>53205</v>
      </c>
      <c r="B372" s="8">
        <f>CHOOSE( CONTROL!$C$29, 7.9627, 7.9584) * CHOOSE(CONTROL!$C$12, $D$11, 100%, $F$11)</f>
        <v>7.9626999999999999</v>
      </c>
      <c r="C372" s="8">
        <f>CHOOSE( CONTROL!$C$29, 7.9731, 7.9689) * CHOOSE(CONTROL!$C$12, $D$11, 100%, $F$11)</f>
        <v>7.9730999999999996</v>
      </c>
      <c r="D372" s="8">
        <f>CHOOSE( CONTROL!$C$29, 7.9957, 7.9915) * CHOOSE( CONTROL!$C$12, $D$11, 100%, $F$11)</f>
        <v>7.9957000000000003</v>
      </c>
      <c r="E372" s="12">
        <f>CHOOSE( CONTROL!$C$29, 7.9859, 7.9817) * CHOOSE( CONTROL!$C$12, $D$11, 100%, $F$11)</f>
        <v>7.9859</v>
      </c>
      <c r="F372" s="4">
        <f>CHOOSE( CONTROL!$C$29, 9.0012, 8.997) * CHOOSE(CONTROL!$C$12, $D$11, 100%, $F$11)</f>
        <v>9.0012000000000008</v>
      </c>
      <c r="G372" s="8">
        <f>CHOOSE( CONTROL!$C$29, 7.7681, 7.764) * CHOOSE( CONTROL!$C$12, $D$11, 100%, $F$11)</f>
        <v>7.7680999999999996</v>
      </c>
      <c r="H372" s="4">
        <f>CHOOSE( CONTROL!$C$29, 8.6979, 8.6938) * CHOOSE(CONTROL!$C$12, $D$11, 100%, $F$11)</f>
        <v>8.6979000000000006</v>
      </c>
      <c r="I372" s="8">
        <f>CHOOSE( CONTROL!$C$29, 7.7045, 7.7004) * CHOOSE(CONTROL!$C$12, $D$11, 100%, $F$11)</f>
        <v>7.7045000000000003</v>
      </c>
      <c r="J372" s="4">
        <f>CHOOSE( CONTROL!$C$29, 7.6251, 7.621) * CHOOSE(CONTROL!$C$12, $D$11, 100%, $F$11)</f>
        <v>7.6250999999999998</v>
      </c>
      <c r="K372" s="4"/>
      <c r="L372" s="9">
        <v>29.520499999999998</v>
      </c>
      <c r="M372" s="9">
        <v>12.063700000000001</v>
      </c>
      <c r="N372" s="9">
        <v>4.9444999999999997</v>
      </c>
      <c r="O372" s="9">
        <v>0.37459999999999999</v>
      </c>
      <c r="P372" s="9">
        <v>1.2192000000000001</v>
      </c>
      <c r="Q372" s="9">
        <v>20.396799999999999</v>
      </c>
      <c r="R372" s="9"/>
      <c r="S372" s="11"/>
    </row>
    <row r="373" spans="1:19" ht="15.75">
      <c r="A373" s="13">
        <v>53235</v>
      </c>
      <c r="B373" s="8">
        <f>CHOOSE( CONTROL!$C$29, 7.7961, 7.7918) * CHOOSE(CONTROL!$C$12, $D$11, 100%, $F$11)</f>
        <v>7.7961</v>
      </c>
      <c r="C373" s="8">
        <f>CHOOSE( CONTROL!$C$29, 7.8065, 7.8023) * CHOOSE(CONTROL!$C$12, $D$11, 100%, $F$11)</f>
        <v>7.8064999999999998</v>
      </c>
      <c r="D373" s="8">
        <f>CHOOSE( CONTROL!$C$29, 7.8291, 7.8248) * CHOOSE( CONTROL!$C$12, $D$11, 100%, $F$11)</f>
        <v>7.8291000000000004</v>
      </c>
      <c r="E373" s="12">
        <f>CHOOSE( CONTROL!$C$29, 7.8193, 7.815) * CHOOSE( CONTROL!$C$12, $D$11, 100%, $F$11)</f>
        <v>7.8193000000000001</v>
      </c>
      <c r="F373" s="4">
        <f>CHOOSE( CONTROL!$C$29, 8.8346, 8.8304) * CHOOSE(CONTROL!$C$12, $D$11, 100%, $F$11)</f>
        <v>8.8346</v>
      </c>
      <c r="G373" s="8">
        <f>CHOOSE( CONTROL!$C$29, 7.6054, 7.6013) * CHOOSE( CONTROL!$C$12, $D$11, 100%, $F$11)</f>
        <v>7.6054000000000004</v>
      </c>
      <c r="H373" s="4">
        <f>CHOOSE( CONTROL!$C$29, 8.5355, 8.5314) * CHOOSE(CONTROL!$C$12, $D$11, 100%, $F$11)</f>
        <v>8.5355000000000008</v>
      </c>
      <c r="I373" s="8">
        <f>CHOOSE( CONTROL!$C$29, 7.5431, 7.539) * CHOOSE(CONTROL!$C$12, $D$11, 100%, $F$11)</f>
        <v>7.5430999999999999</v>
      </c>
      <c r="J373" s="4">
        <f>CHOOSE( CONTROL!$C$29, 7.4654, 7.4614) * CHOOSE(CONTROL!$C$12, $D$11, 100%, $F$11)</f>
        <v>7.4653999999999998</v>
      </c>
      <c r="K373" s="4"/>
      <c r="L373" s="9">
        <v>28.568200000000001</v>
      </c>
      <c r="M373" s="9">
        <v>11.6745</v>
      </c>
      <c r="N373" s="9">
        <v>4.7850000000000001</v>
      </c>
      <c r="O373" s="9">
        <v>0.36249999999999999</v>
      </c>
      <c r="P373" s="9">
        <v>1.1798</v>
      </c>
      <c r="Q373" s="9">
        <v>19.738800000000001</v>
      </c>
      <c r="R373" s="9"/>
      <c r="S373" s="11"/>
    </row>
    <row r="374" spans="1:19" ht="15.75">
      <c r="A374" s="13">
        <v>53266</v>
      </c>
      <c r="B374" s="8">
        <f>8.1377 * CHOOSE(CONTROL!$C$12, $D$11, 100%, $F$11)</f>
        <v>8.1377000000000006</v>
      </c>
      <c r="C374" s="8">
        <f>8.1482 * CHOOSE(CONTROL!$C$12, $D$11, 100%, $F$11)</f>
        <v>8.1481999999999992</v>
      </c>
      <c r="D374" s="8">
        <f>8.1526 * CHOOSE( CONTROL!$C$12, $D$11, 100%, $F$11)</f>
        <v>8.1525999999999996</v>
      </c>
      <c r="E374" s="12">
        <f>8.15 * CHOOSE( CONTROL!$C$12, $D$11, 100%, $F$11)</f>
        <v>8.15</v>
      </c>
      <c r="F374" s="4">
        <f>9.145 * CHOOSE(CONTROL!$C$12, $D$11, 100%, $F$11)</f>
        <v>9.1449999999999996</v>
      </c>
      <c r="G374" s="8">
        <f>7.9288 * CHOOSE( CONTROL!$C$12, $D$11, 100%, $F$11)</f>
        <v>7.9287999999999998</v>
      </c>
      <c r="H374" s="4">
        <f>8.838 * CHOOSE(CONTROL!$C$12, $D$11, 100%, $F$11)</f>
        <v>8.8379999999999992</v>
      </c>
      <c r="I374" s="8">
        <f>7.8673 * CHOOSE(CONTROL!$C$12, $D$11, 100%, $F$11)</f>
        <v>7.8673000000000002</v>
      </c>
      <c r="J374" s="4">
        <f>7.7928 * CHOOSE(CONTROL!$C$12, $D$11, 100%, $F$11)</f>
        <v>7.7927999999999997</v>
      </c>
      <c r="K374" s="4"/>
      <c r="L374" s="9">
        <v>28.921800000000001</v>
      </c>
      <c r="M374" s="9">
        <v>12.063700000000001</v>
      </c>
      <c r="N374" s="9">
        <v>4.9444999999999997</v>
      </c>
      <c r="O374" s="9">
        <v>0.37459999999999999</v>
      </c>
      <c r="P374" s="9">
        <v>1.2192000000000001</v>
      </c>
      <c r="Q374" s="9">
        <v>20.396799999999999</v>
      </c>
      <c r="R374" s="9"/>
      <c r="S374" s="11"/>
    </row>
    <row r="375" spans="1:19" ht="15.75">
      <c r="A375" s="13">
        <v>53296</v>
      </c>
      <c r="B375" s="8">
        <f>8.7762 * CHOOSE(CONTROL!$C$12, $D$11, 100%, $F$11)</f>
        <v>8.7761999999999993</v>
      </c>
      <c r="C375" s="8">
        <f>8.7867 * CHOOSE(CONTROL!$C$12, $D$11, 100%, $F$11)</f>
        <v>8.7866999999999997</v>
      </c>
      <c r="D375" s="8">
        <f>8.7691 * CHOOSE( CONTROL!$C$12, $D$11, 100%, $F$11)</f>
        <v>8.7690999999999999</v>
      </c>
      <c r="E375" s="12">
        <f>8.7744 * CHOOSE( CONTROL!$C$12, $D$11, 100%, $F$11)</f>
        <v>8.7744</v>
      </c>
      <c r="F375" s="4">
        <f>9.7705 * CHOOSE(CONTROL!$C$12, $D$11, 100%, $F$11)</f>
        <v>9.7705000000000002</v>
      </c>
      <c r="G375" s="8">
        <f>8.5636 * CHOOSE( CONTROL!$C$12, $D$11, 100%, $F$11)</f>
        <v>8.5635999999999992</v>
      </c>
      <c r="H375" s="4">
        <f>9.4477 * CHOOSE(CONTROL!$C$12, $D$11, 100%, $F$11)</f>
        <v>9.4476999999999993</v>
      </c>
      <c r="I375" s="8">
        <f>8.5028 * CHOOSE(CONTROL!$C$12, $D$11, 100%, $F$11)</f>
        <v>8.5028000000000006</v>
      </c>
      <c r="J375" s="4">
        <f>8.4046 * CHOOSE(CONTROL!$C$12, $D$11, 100%, $F$11)</f>
        <v>8.4046000000000003</v>
      </c>
      <c r="K375" s="4"/>
      <c r="L375" s="9">
        <v>26.515499999999999</v>
      </c>
      <c r="M375" s="9">
        <v>11.6745</v>
      </c>
      <c r="N375" s="9">
        <v>4.7850000000000001</v>
      </c>
      <c r="O375" s="9">
        <v>0.36249999999999999</v>
      </c>
      <c r="P375" s="9">
        <v>1.2522</v>
      </c>
      <c r="Q375" s="9">
        <v>19.738800000000001</v>
      </c>
      <c r="R375" s="9"/>
      <c r="S375" s="11"/>
    </row>
    <row r="376" spans="1:19" ht="15.75">
      <c r="A376" s="13">
        <v>53327</v>
      </c>
      <c r="B376" s="8">
        <f>8.7603 * CHOOSE(CONTROL!$C$12, $D$11, 100%, $F$11)</f>
        <v>8.7603000000000009</v>
      </c>
      <c r="C376" s="8">
        <f>8.7707 * CHOOSE(CONTROL!$C$12, $D$11, 100%, $F$11)</f>
        <v>8.7706999999999997</v>
      </c>
      <c r="D376" s="8">
        <f>8.7551 * CHOOSE( CONTROL!$C$12, $D$11, 100%, $F$11)</f>
        <v>8.7551000000000005</v>
      </c>
      <c r="E376" s="12">
        <f>8.7597 * CHOOSE( CONTROL!$C$12, $D$11, 100%, $F$11)</f>
        <v>8.7597000000000005</v>
      </c>
      <c r="F376" s="4">
        <f>9.7545 * CHOOSE(CONTROL!$C$12, $D$11, 100%, $F$11)</f>
        <v>9.7545000000000002</v>
      </c>
      <c r="G376" s="8">
        <f>8.5496 * CHOOSE( CONTROL!$C$12, $D$11, 100%, $F$11)</f>
        <v>8.5495999999999999</v>
      </c>
      <c r="H376" s="4">
        <f>9.4322 * CHOOSE(CONTROL!$C$12, $D$11, 100%, $F$11)</f>
        <v>9.4321999999999999</v>
      </c>
      <c r="I376" s="8">
        <f>8.4948 * CHOOSE(CONTROL!$C$12, $D$11, 100%, $F$11)</f>
        <v>8.4947999999999997</v>
      </c>
      <c r="J376" s="4">
        <f>8.3894 * CHOOSE(CONTROL!$C$12, $D$11, 100%, $F$11)</f>
        <v>8.3894000000000002</v>
      </c>
      <c r="K376" s="4"/>
      <c r="L376" s="9">
        <v>27.3993</v>
      </c>
      <c r="M376" s="9">
        <v>12.063700000000001</v>
      </c>
      <c r="N376" s="9">
        <v>4.9444999999999997</v>
      </c>
      <c r="O376" s="9">
        <v>0.37459999999999999</v>
      </c>
      <c r="P376" s="9">
        <v>1.2939000000000001</v>
      </c>
      <c r="Q376" s="9">
        <v>20.396799999999999</v>
      </c>
      <c r="R376" s="9"/>
      <c r="S376" s="11"/>
    </row>
    <row r="377" spans="1:19" ht="15.75">
      <c r="A377" s="13">
        <v>53358</v>
      </c>
      <c r="B377" s="8">
        <f>9.0949 * CHOOSE(CONTROL!$C$12, $D$11, 100%, $F$11)</f>
        <v>9.0949000000000009</v>
      </c>
      <c r="C377" s="8">
        <f>9.1054 * CHOOSE(CONTROL!$C$12, $D$11, 100%, $F$11)</f>
        <v>9.1053999999999995</v>
      </c>
      <c r="D377" s="8">
        <f>9.103 * CHOOSE( CONTROL!$C$12, $D$11, 100%, $F$11)</f>
        <v>9.1029999999999998</v>
      </c>
      <c r="E377" s="12">
        <f>9.1028 * CHOOSE( CONTROL!$C$12, $D$11, 100%, $F$11)</f>
        <v>9.1028000000000002</v>
      </c>
      <c r="F377" s="4">
        <f>10.1178 * CHOOSE(CONTROL!$C$12, $D$11, 100%, $F$11)</f>
        <v>10.117800000000001</v>
      </c>
      <c r="G377" s="8">
        <f>8.893 * CHOOSE( CONTROL!$C$12, $D$11, 100%, $F$11)</f>
        <v>8.8930000000000007</v>
      </c>
      <c r="H377" s="4">
        <f>9.7863 * CHOOSE(CONTROL!$C$12, $D$11, 100%, $F$11)</f>
        <v>9.7863000000000007</v>
      </c>
      <c r="I377" s="8">
        <f>8.8229 * CHOOSE(CONTROL!$C$12, $D$11, 100%, $F$11)</f>
        <v>8.8229000000000006</v>
      </c>
      <c r="J377" s="4">
        <f>8.71 * CHOOSE(CONTROL!$C$12, $D$11, 100%, $F$11)</f>
        <v>8.7100000000000009</v>
      </c>
      <c r="K377" s="4"/>
      <c r="L377" s="9">
        <v>27.3993</v>
      </c>
      <c r="M377" s="9">
        <v>12.063700000000001</v>
      </c>
      <c r="N377" s="9">
        <v>4.9444999999999997</v>
      </c>
      <c r="O377" s="9">
        <v>0.37459999999999999</v>
      </c>
      <c r="P377" s="9">
        <v>1.2939000000000001</v>
      </c>
      <c r="Q377" s="9">
        <v>20.331700000000001</v>
      </c>
      <c r="R377" s="9"/>
      <c r="S377" s="11"/>
    </row>
    <row r="378" spans="1:19" ht="15.75">
      <c r="A378" s="13">
        <v>53386</v>
      </c>
      <c r="B378" s="8">
        <f>8.5073 * CHOOSE(CONTROL!$C$12, $D$11, 100%, $F$11)</f>
        <v>8.5073000000000008</v>
      </c>
      <c r="C378" s="8">
        <f>8.5177 * CHOOSE(CONTROL!$C$12, $D$11, 100%, $F$11)</f>
        <v>8.5176999999999996</v>
      </c>
      <c r="D378" s="8">
        <f>8.5177 * CHOOSE( CONTROL!$C$12, $D$11, 100%, $F$11)</f>
        <v>8.5176999999999996</v>
      </c>
      <c r="E378" s="12">
        <f>8.5166 * CHOOSE( CONTROL!$C$12, $D$11, 100%, $F$11)</f>
        <v>8.5166000000000004</v>
      </c>
      <c r="F378" s="4">
        <f>9.5223 * CHOOSE(CONTROL!$C$12, $D$11, 100%, $F$11)</f>
        <v>9.5222999999999995</v>
      </c>
      <c r="G378" s="8">
        <f>8.32 * CHOOSE( CONTROL!$C$12, $D$11, 100%, $F$11)</f>
        <v>8.32</v>
      </c>
      <c r="H378" s="4">
        <f>9.2059 * CHOOSE(CONTROL!$C$12, $D$11, 100%, $F$11)</f>
        <v>9.2058999999999997</v>
      </c>
      <c r="I378" s="8">
        <f>8.2486 * CHOOSE(CONTROL!$C$12, $D$11, 100%, $F$11)</f>
        <v>8.2485999999999997</v>
      </c>
      <c r="J378" s="4">
        <f>8.1469 * CHOOSE(CONTROL!$C$12, $D$11, 100%, $F$11)</f>
        <v>8.1469000000000005</v>
      </c>
      <c r="K378" s="4"/>
      <c r="L378" s="9">
        <v>24.747800000000002</v>
      </c>
      <c r="M378" s="9">
        <v>10.8962</v>
      </c>
      <c r="N378" s="9">
        <v>4.4660000000000002</v>
      </c>
      <c r="O378" s="9">
        <v>0.33829999999999999</v>
      </c>
      <c r="P378" s="9">
        <v>1.1687000000000001</v>
      </c>
      <c r="Q378" s="9">
        <v>18.364100000000001</v>
      </c>
      <c r="R378" s="9"/>
      <c r="S378" s="11"/>
    </row>
    <row r="379" spans="1:19" ht="15.75">
      <c r="A379" s="13">
        <v>53417</v>
      </c>
      <c r="B379" s="8">
        <f>8.3263 * CHOOSE(CONTROL!$C$12, $D$11, 100%, $F$11)</f>
        <v>8.3262999999999998</v>
      </c>
      <c r="C379" s="8">
        <f>8.3367 * CHOOSE(CONTROL!$C$12, $D$11, 100%, $F$11)</f>
        <v>8.3367000000000004</v>
      </c>
      <c r="D379" s="8">
        <f>8.3165 * CHOOSE( CONTROL!$C$12, $D$11, 100%, $F$11)</f>
        <v>8.3164999999999996</v>
      </c>
      <c r="E379" s="12">
        <f>8.3228 * CHOOSE( CONTROL!$C$12, $D$11, 100%, $F$11)</f>
        <v>8.3228000000000009</v>
      </c>
      <c r="F379" s="4">
        <f>9.3252 * CHOOSE(CONTROL!$C$12, $D$11, 100%, $F$11)</f>
        <v>9.3252000000000006</v>
      </c>
      <c r="G379" s="8">
        <f>8.1231 * CHOOSE( CONTROL!$C$12, $D$11, 100%, $F$11)</f>
        <v>8.1231000000000009</v>
      </c>
      <c r="H379" s="4">
        <f>9.0137 * CHOOSE(CONTROL!$C$12, $D$11, 100%, $F$11)</f>
        <v>9.0137</v>
      </c>
      <c r="I379" s="8">
        <f>8.0356 * CHOOSE(CONTROL!$C$12, $D$11, 100%, $F$11)</f>
        <v>8.0356000000000005</v>
      </c>
      <c r="J379" s="4">
        <f>7.9735 * CHOOSE(CONTROL!$C$12, $D$11, 100%, $F$11)</f>
        <v>7.9734999999999996</v>
      </c>
      <c r="K379" s="4"/>
      <c r="L379" s="9">
        <v>27.3993</v>
      </c>
      <c r="M379" s="9">
        <v>12.063700000000001</v>
      </c>
      <c r="N379" s="9">
        <v>4.9444999999999997</v>
      </c>
      <c r="O379" s="9">
        <v>0.37459999999999999</v>
      </c>
      <c r="P379" s="9">
        <v>1.2939000000000001</v>
      </c>
      <c r="Q379" s="9">
        <v>20.331700000000001</v>
      </c>
      <c r="R379" s="9"/>
      <c r="S379" s="11"/>
    </row>
    <row r="380" spans="1:19" ht="15.75">
      <c r="A380" s="13">
        <v>53447</v>
      </c>
      <c r="B380" s="8">
        <f>8.4527 * CHOOSE(CONTROL!$C$12, $D$11, 100%, $F$11)</f>
        <v>8.4527000000000001</v>
      </c>
      <c r="C380" s="8">
        <f>8.4632 * CHOOSE(CONTROL!$C$12, $D$11, 100%, $F$11)</f>
        <v>8.4632000000000005</v>
      </c>
      <c r="D380" s="8">
        <f>8.4664 * CHOOSE( CONTROL!$C$12, $D$11, 100%, $F$11)</f>
        <v>8.4664000000000001</v>
      </c>
      <c r="E380" s="12">
        <f>8.4641 * CHOOSE( CONTROL!$C$12, $D$11, 100%, $F$11)</f>
        <v>8.4641000000000002</v>
      </c>
      <c r="F380" s="4">
        <f>9.46 * CHOOSE(CONTROL!$C$12, $D$11, 100%, $F$11)</f>
        <v>9.4600000000000009</v>
      </c>
      <c r="G380" s="8">
        <f>8.2342 * CHOOSE( CONTROL!$C$12, $D$11, 100%, $F$11)</f>
        <v>8.2341999999999995</v>
      </c>
      <c r="H380" s="4">
        <f>9.1451 * CHOOSE(CONTROL!$C$12, $D$11, 100%, $F$11)</f>
        <v>9.1450999999999993</v>
      </c>
      <c r="I380" s="8">
        <f>8.1469 * CHOOSE(CONTROL!$C$12, $D$11, 100%, $F$11)</f>
        <v>8.1469000000000005</v>
      </c>
      <c r="J380" s="4">
        <f>8.0947 * CHOOSE(CONTROL!$C$12, $D$11, 100%, $F$11)</f>
        <v>8.0946999999999996</v>
      </c>
      <c r="K380" s="4"/>
      <c r="L380" s="9">
        <v>27.988800000000001</v>
      </c>
      <c r="M380" s="9">
        <v>11.6745</v>
      </c>
      <c r="N380" s="9">
        <v>4.7850000000000001</v>
      </c>
      <c r="O380" s="9">
        <v>0.36249999999999999</v>
      </c>
      <c r="P380" s="9">
        <v>1.1798</v>
      </c>
      <c r="Q380" s="9">
        <v>19.675799999999999</v>
      </c>
      <c r="R380" s="9"/>
      <c r="S380" s="11"/>
    </row>
    <row r="381" spans="1:19" ht="15.75">
      <c r="A381" s="13">
        <v>53478</v>
      </c>
      <c r="B381" s="8">
        <f>CHOOSE( CONTROL!$C$29, 8.6821, 8.6778) * CHOOSE(CONTROL!$C$12, $D$11, 100%, $F$11)</f>
        <v>8.6821000000000002</v>
      </c>
      <c r="C381" s="8">
        <f>CHOOSE( CONTROL!$C$29, 8.6925, 8.6883) * CHOOSE(CONTROL!$C$12, $D$11, 100%, $F$11)</f>
        <v>8.6925000000000008</v>
      </c>
      <c r="D381" s="8">
        <f>CHOOSE( CONTROL!$C$29, 8.6704, 8.6662) * CHOOSE( CONTROL!$C$12, $D$11, 100%, $F$11)</f>
        <v>8.6704000000000008</v>
      </c>
      <c r="E381" s="12">
        <f>CHOOSE( CONTROL!$C$29, 8.6768, 8.6726) * CHOOSE( CONTROL!$C$12, $D$11, 100%, $F$11)</f>
        <v>8.6768000000000001</v>
      </c>
      <c r="F381" s="4">
        <f>CHOOSE( CONTROL!$C$29, 9.657, 9.6527) * CHOOSE(CONTROL!$C$12, $D$11, 100%, $F$11)</f>
        <v>9.657</v>
      </c>
      <c r="G381" s="8">
        <f>CHOOSE( CONTROL!$C$29, 8.439, 8.4349) * CHOOSE( CONTROL!$C$12, $D$11, 100%, $F$11)</f>
        <v>8.4390000000000001</v>
      </c>
      <c r="H381" s="4">
        <f>CHOOSE( CONTROL!$C$29, 9.3371, 9.333) * CHOOSE(CONTROL!$C$12, $D$11, 100%, $F$11)</f>
        <v>9.3370999999999995</v>
      </c>
      <c r="I381" s="8">
        <f>CHOOSE( CONTROL!$C$29, 8.3453, 8.3412) * CHOOSE(CONTROL!$C$12, $D$11, 100%, $F$11)</f>
        <v>8.3452999999999999</v>
      </c>
      <c r="J381" s="4">
        <f>CHOOSE( CONTROL!$C$29, 8.3144, 8.3104) * CHOOSE(CONTROL!$C$12, $D$11, 100%, $F$11)</f>
        <v>8.3143999999999991</v>
      </c>
      <c r="K381" s="4"/>
      <c r="L381" s="9">
        <v>29.520499999999998</v>
      </c>
      <c r="M381" s="9">
        <v>12.063700000000001</v>
      </c>
      <c r="N381" s="9">
        <v>4.9444999999999997</v>
      </c>
      <c r="O381" s="9">
        <v>0.37459999999999999</v>
      </c>
      <c r="P381" s="9">
        <v>1.2192000000000001</v>
      </c>
      <c r="Q381" s="9">
        <v>20.331700000000001</v>
      </c>
      <c r="R381" s="9"/>
      <c r="S381" s="11"/>
    </row>
    <row r="382" spans="1:19" ht="15.75">
      <c r="A382" s="13">
        <v>53508</v>
      </c>
      <c r="B382" s="8">
        <f>CHOOSE( CONTROL!$C$29, 8.5426, 8.5384) * CHOOSE(CONTROL!$C$12, $D$11, 100%, $F$11)</f>
        <v>8.5426000000000002</v>
      </c>
      <c r="C382" s="8">
        <f>CHOOSE( CONTROL!$C$29, 8.5531, 8.5488) * CHOOSE(CONTROL!$C$12, $D$11, 100%, $F$11)</f>
        <v>8.5531000000000006</v>
      </c>
      <c r="D382" s="8">
        <f>CHOOSE( CONTROL!$C$29, 8.5254, 8.5212) * CHOOSE( CONTROL!$C$12, $D$11, 100%, $F$11)</f>
        <v>8.5253999999999994</v>
      </c>
      <c r="E382" s="12">
        <f>CHOOSE( CONTROL!$C$29, 8.5338, 8.5296) * CHOOSE( CONTROL!$C$12, $D$11, 100%, $F$11)</f>
        <v>8.5337999999999994</v>
      </c>
      <c r="F382" s="4">
        <f>CHOOSE( CONTROL!$C$29, 9.5071, 9.5029) * CHOOSE(CONTROL!$C$12, $D$11, 100%, $F$11)</f>
        <v>9.5070999999999994</v>
      </c>
      <c r="G382" s="8">
        <f>CHOOSE( CONTROL!$C$29, 8.3018, 8.2977) * CHOOSE( CONTROL!$C$12, $D$11, 100%, $F$11)</f>
        <v>8.3018000000000001</v>
      </c>
      <c r="H382" s="4">
        <f>CHOOSE( CONTROL!$C$29, 9.191, 9.1869) * CHOOSE(CONTROL!$C$12, $D$11, 100%, $F$11)</f>
        <v>9.1910000000000007</v>
      </c>
      <c r="I382" s="8">
        <f>CHOOSE( CONTROL!$C$29, 8.2138, 8.2097) * CHOOSE(CONTROL!$C$12, $D$11, 100%, $F$11)</f>
        <v>8.2138000000000009</v>
      </c>
      <c r="J382" s="4">
        <f>CHOOSE( CONTROL!$C$29, 8.1808, 8.1767) * CHOOSE(CONTROL!$C$12, $D$11, 100%, $F$11)</f>
        <v>8.1807999999999996</v>
      </c>
      <c r="K382" s="4"/>
      <c r="L382" s="9">
        <v>28.568200000000001</v>
      </c>
      <c r="M382" s="9">
        <v>11.6745</v>
      </c>
      <c r="N382" s="9">
        <v>4.7850000000000001</v>
      </c>
      <c r="O382" s="9">
        <v>0.36249999999999999</v>
      </c>
      <c r="P382" s="9">
        <v>1.1798</v>
      </c>
      <c r="Q382" s="9">
        <v>19.675799999999999</v>
      </c>
      <c r="R382" s="9"/>
      <c r="S382" s="11"/>
    </row>
    <row r="383" spans="1:19" ht="15.75">
      <c r="A383" s="13">
        <v>53539</v>
      </c>
      <c r="B383" s="8">
        <f>CHOOSE( CONTROL!$C$29, 8.9098, 8.9056) * CHOOSE(CONTROL!$C$12, $D$11, 100%, $F$11)</f>
        <v>8.9098000000000006</v>
      </c>
      <c r="C383" s="8">
        <f>CHOOSE( CONTROL!$C$29, 8.9203, 8.916) * CHOOSE(CONTROL!$C$12, $D$11, 100%, $F$11)</f>
        <v>8.9202999999999992</v>
      </c>
      <c r="D383" s="8">
        <f>CHOOSE( CONTROL!$C$29, 8.9264, 8.9222) * CHOOSE( CONTROL!$C$12, $D$11, 100%, $F$11)</f>
        <v>8.9263999999999992</v>
      </c>
      <c r="E383" s="12">
        <f>CHOOSE( CONTROL!$C$29, 8.9226, 8.9184) * CHOOSE( CONTROL!$C$12, $D$11, 100%, $F$11)</f>
        <v>8.9225999999999992</v>
      </c>
      <c r="F383" s="4">
        <f>CHOOSE( CONTROL!$C$29, 9.9197, 9.9155) * CHOOSE(CONTROL!$C$12, $D$11, 100%, $F$11)</f>
        <v>9.9197000000000006</v>
      </c>
      <c r="G383" s="8">
        <f>CHOOSE( CONTROL!$C$29, 8.6858, 8.6817) * CHOOSE( CONTROL!$C$12, $D$11, 100%, $F$11)</f>
        <v>8.6858000000000004</v>
      </c>
      <c r="H383" s="4">
        <f>CHOOSE( CONTROL!$C$29, 9.5932, 9.5891) * CHOOSE(CONTROL!$C$12, $D$11, 100%, $F$11)</f>
        <v>9.5931999999999995</v>
      </c>
      <c r="I383" s="8">
        <f>CHOOSE( CONTROL!$C$29, 8.6211, 8.617) * CHOOSE(CONTROL!$C$12, $D$11, 100%, $F$11)</f>
        <v>8.6211000000000002</v>
      </c>
      <c r="J383" s="4">
        <f>CHOOSE( CONTROL!$C$29, 8.5327, 8.5286) * CHOOSE(CONTROL!$C$12, $D$11, 100%, $F$11)</f>
        <v>8.5327000000000002</v>
      </c>
      <c r="K383" s="4"/>
      <c r="L383" s="9">
        <v>29.520499999999998</v>
      </c>
      <c r="M383" s="9">
        <v>12.063700000000001</v>
      </c>
      <c r="N383" s="9">
        <v>4.9444999999999997</v>
      </c>
      <c r="O383" s="9">
        <v>0.37459999999999999</v>
      </c>
      <c r="P383" s="9">
        <v>1.2192000000000001</v>
      </c>
      <c r="Q383" s="9">
        <v>20.331700000000001</v>
      </c>
      <c r="R383" s="9"/>
      <c r="S383" s="11"/>
    </row>
    <row r="384" spans="1:19" ht="15.75">
      <c r="A384" s="13">
        <v>53570</v>
      </c>
      <c r="B384" s="8">
        <f>CHOOSE( CONTROL!$C$29, 8.2228, 8.2185) * CHOOSE(CONTROL!$C$12, $D$11, 100%, $F$11)</f>
        <v>8.2227999999999994</v>
      </c>
      <c r="C384" s="8">
        <f>CHOOSE( CONTROL!$C$29, 8.2332, 8.229) * CHOOSE(CONTROL!$C$12, $D$11, 100%, $F$11)</f>
        <v>8.2332000000000001</v>
      </c>
      <c r="D384" s="8">
        <f>CHOOSE( CONTROL!$C$29, 8.2558, 8.2516) * CHOOSE( CONTROL!$C$12, $D$11, 100%, $F$11)</f>
        <v>8.2558000000000007</v>
      </c>
      <c r="E384" s="12">
        <f>CHOOSE( CONTROL!$C$29, 8.246, 8.2418) * CHOOSE( CONTROL!$C$12, $D$11, 100%, $F$11)</f>
        <v>8.2460000000000004</v>
      </c>
      <c r="F384" s="4">
        <f>CHOOSE( CONTROL!$C$29, 9.2613, 9.2571) * CHOOSE(CONTROL!$C$12, $D$11, 100%, $F$11)</f>
        <v>9.2613000000000003</v>
      </c>
      <c r="G384" s="8">
        <f>CHOOSE( CONTROL!$C$29, 8.0217, 8.0175) * CHOOSE( CONTROL!$C$12, $D$11, 100%, $F$11)</f>
        <v>8.0216999999999992</v>
      </c>
      <c r="H384" s="4">
        <f>CHOOSE( CONTROL!$C$29, 8.9514, 8.9473) * CHOOSE(CONTROL!$C$12, $D$11, 100%, $F$11)</f>
        <v>8.9513999999999996</v>
      </c>
      <c r="I384" s="8">
        <f>CHOOSE( CONTROL!$C$29, 7.9539, 7.9498) * CHOOSE(CONTROL!$C$12, $D$11, 100%, $F$11)</f>
        <v>7.9539</v>
      </c>
      <c r="J384" s="4">
        <f>CHOOSE( CONTROL!$C$29, 7.8743, 7.8702) * CHOOSE(CONTROL!$C$12, $D$11, 100%, $F$11)</f>
        <v>7.8742999999999999</v>
      </c>
      <c r="K384" s="4"/>
      <c r="L384" s="9">
        <v>29.520499999999998</v>
      </c>
      <c r="M384" s="9">
        <v>12.063700000000001</v>
      </c>
      <c r="N384" s="9">
        <v>4.9444999999999997</v>
      </c>
      <c r="O384" s="9">
        <v>0.37459999999999999</v>
      </c>
      <c r="P384" s="9">
        <v>1.2192000000000001</v>
      </c>
      <c r="Q384" s="9">
        <v>20.331700000000001</v>
      </c>
      <c r="R384" s="9"/>
      <c r="S384" s="11"/>
    </row>
    <row r="385" spans="1:19" ht="15.75">
      <c r="A385" s="13">
        <v>53600</v>
      </c>
      <c r="B385" s="8">
        <f>CHOOSE( CONTROL!$C$29, 8.0507, 8.0465) * CHOOSE(CONTROL!$C$12, $D$11, 100%, $F$11)</f>
        <v>8.0507000000000009</v>
      </c>
      <c r="C385" s="8">
        <f>CHOOSE( CONTROL!$C$29, 8.0612, 8.0569) * CHOOSE(CONTROL!$C$12, $D$11, 100%, $F$11)</f>
        <v>8.0611999999999995</v>
      </c>
      <c r="D385" s="8">
        <f>CHOOSE( CONTROL!$C$29, 8.0837, 8.0795) * CHOOSE( CONTROL!$C$12, $D$11, 100%, $F$11)</f>
        <v>8.0837000000000003</v>
      </c>
      <c r="E385" s="12">
        <f>CHOOSE( CONTROL!$C$29, 8.0739, 8.0697) * CHOOSE( CONTROL!$C$12, $D$11, 100%, $F$11)</f>
        <v>8.0739000000000001</v>
      </c>
      <c r="F385" s="4">
        <f>CHOOSE( CONTROL!$C$29, 9.0893, 9.085) * CHOOSE(CONTROL!$C$12, $D$11, 100%, $F$11)</f>
        <v>9.0892999999999997</v>
      </c>
      <c r="G385" s="8">
        <f>CHOOSE( CONTROL!$C$29, 7.8537, 7.8495) * CHOOSE( CONTROL!$C$12, $D$11, 100%, $F$11)</f>
        <v>7.8536999999999999</v>
      </c>
      <c r="H385" s="4">
        <f>CHOOSE( CONTROL!$C$29, 8.7837, 8.7796) * CHOOSE(CONTROL!$C$12, $D$11, 100%, $F$11)</f>
        <v>8.7836999999999996</v>
      </c>
      <c r="I385" s="8">
        <f>CHOOSE( CONTROL!$C$29, 7.7872, 7.7831) * CHOOSE(CONTROL!$C$12, $D$11, 100%, $F$11)</f>
        <v>7.7872000000000003</v>
      </c>
      <c r="J385" s="4">
        <f>CHOOSE( CONTROL!$C$29, 7.7095, 7.7054) * CHOOSE(CONTROL!$C$12, $D$11, 100%, $F$11)</f>
        <v>7.7095000000000002</v>
      </c>
      <c r="K385" s="4"/>
      <c r="L385" s="9">
        <v>28.568200000000001</v>
      </c>
      <c r="M385" s="9">
        <v>11.6745</v>
      </c>
      <c r="N385" s="9">
        <v>4.7850000000000001</v>
      </c>
      <c r="O385" s="9">
        <v>0.36249999999999999</v>
      </c>
      <c r="P385" s="9">
        <v>1.1798</v>
      </c>
      <c r="Q385" s="9">
        <v>19.675799999999999</v>
      </c>
      <c r="R385" s="9"/>
      <c r="S385" s="11"/>
    </row>
    <row r="386" spans="1:19" ht="15.75">
      <c r="A386" s="13">
        <v>53631</v>
      </c>
      <c r="B386" s="8">
        <f>8.4037 * CHOOSE(CONTROL!$C$12, $D$11, 100%, $F$11)</f>
        <v>8.4037000000000006</v>
      </c>
      <c r="C386" s="8">
        <f>8.4142 * CHOOSE(CONTROL!$C$12, $D$11, 100%, $F$11)</f>
        <v>8.4141999999999992</v>
      </c>
      <c r="D386" s="8">
        <f>8.4186 * CHOOSE( CONTROL!$C$12, $D$11, 100%, $F$11)</f>
        <v>8.4185999999999996</v>
      </c>
      <c r="E386" s="12">
        <f>8.416 * CHOOSE( CONTROL!$C$12, $D$11, 100%, $F$11)</f>
        <v>8.4160000000000004</v>
      </c>
      <c r="F386" s="4">
        <f>9.411 * CHOOSE(CONTROL!$C$12, $D$11, 100%, $F$11)</f>
        <v>9.4109999999999996</v>
      </c>
      <c r="G386" s="8">
        <f>8.188 * CHOOSE( CONTROL!$C$12, $D$11, 100%, $F$11)</f>
        <v>8.1880000000000006</v>
      </c>
      <c r="H386" s="4">
        <f>9.0973 * CHOOSE(CONTROL!$C$12, $D$11, 100%, $F$11)</f>
        <v>9.0973000000000006</v>
      </c>
      <c r="I386" s="8">
        <f>8.1223 * CHOOSE(CONTROL!$C$12, $D$11, 100%, $F$11)</f>
        <v>8.1222999999999992</v>
      </c>
      <c r="J386" s="4">
        <f>8.0477 * CHOOSE(CONTROL!$C$12, $D$11, 100%, $F$11)</f>
        <v>8.0477000000000007</v>
      </c>
      <c r="K386" s="4"/>
      <c r="L386" s="9">
        <v>28.921800000000001</v>
      </c>
      <c r="M386" s="9">
        <v>12.063700000000001</v>
      </c>
      <c r="N386" s="9">
        <v>4.9444999999999997</v>
      </c>
      <c r="O386" s="9">
        <v>0.37459999999999999</v>
      </c>
      <c r="P386" s="9">
        <v>1.2192000000000001</v>
      </c>
      <c r="Q386" s="9">
        <v>20.331700000000001</v>
      </c>
      <c r="R386" s="9"/>
      <c r="S386" s="11"/>
    </row>
    <row r="387" spans="1:19" ht="15.75">
      <c r="A387" s="13">
        <v>53661</v>
      </c>
      <c r="B387" s="8">
        <f>9.0631 * CHOOSE(CONTROL!$C$12, $D$11, 100%, $F$11)</f>
        <v>9.0631000000000004</v>
      </c>
      <c r="C387" s="8">
        <f>9.0735 * CHOOSE(CONTROL!$C$12, $D$11, 100%, $F$11)</f>
        <v>9.0734999999999992</v>
      </c>
      <c r="D387" s="8">
        <f>9.0559 * CHOOSE( CONTROL!$C$12, $D$11, 100%, $F$11)</f>
        <v>9.0558999999999994</v>
      </c>
      <c r="E387" s="12">
        <f>9.0612 * CHOOSE( CONTROL!$C$12, $D$11, 100%, $F$11)</f>
        <v>9.0611999999999995</v>
      </c>
      <c r="F387" s="4">
        <f>10.0573 * CHOOSE(CONTROL!$C$12, $D$11, 100%, $F$11)</f>
        <v>10.0573</v>
      </c>
      <c r="G387" s="8">
        <f>8.8432 * CHOOSE( CONTROL!$C$12, $D$11, 100%, $F$11)</f>
        <v>8.8431999999999995</v>
      </c>
      <c r="H387" s="4">
        <f>9.7273 * CHOOSE(CONTROL!$C$12, $D$11, 100%, $F$11)</f>
        <v>9.7272999999999996</v>
      </c>
      <c r="I387" s="8">
        <f>8.7778 * CHOOSE(CONTROL!$C$12, $D$11, 100%, $F$11)</f>
        <v>8.7777999999999992</v>
      </c>
      <c r="J387" s="4">
        <f>8.6795 * CHOOSE(CONTROL!$C$12, $D$11, 100%, $F$11)</f>
        <v>8.6795000000000009</v>
      </c>
      <c r="K387" s="4"/>
      <c r="L387" s="9">
        <v>26.515499999999999</v>
      </c>
      <c r="M387" s="9">
        <v>11.6745</v>
      </c>
      <c r="N387" s="9">
        <v>4.7850000000000001</v>
      </c>
      <c r="O387" s="9">
        <v>0.36249999999999999</v>
      </c>
      <c r="P387" s="9">
        <v>1.2522</v>
      </c>
      <c r="Q387" s="9">
        <v>19.675799999999999</v>
      </c>
      <c r="R387" s="9"/>
      <c r="S387" s="11"/>
    </row>
    <row r="388" spans="1:19" ht="15.75">
      <c r="A388" s="13">
        <v>53692</v>
      </c>
      <c r="B388" s="8">
        <f>9.0466 * CHOOSE(CONTROL!$C$12, $D$11, 100%, $F$11)</f>
        <v>9.0465999999999998</v>
      </c>
      <c r="C388" s="8">
        <f>9.0571 * CHOOSE(CONTROL!$C$12, $D$11, 100%, $F$11)</f>
        <v>9.0571000000000002</v>
      </c>
      <c r="D388" s="8">
        <f>9.0415 * CHOOSE( CONTROL!$C$12, $D$11, 100%, $F$11)</f>
        <v>9.0414999999999992</v>
      </c>
      <c r="E388" s="12">
        <f>9.0461 * CHOOSE( CONTROL!$C$12, $D$11, 100%, $F$11)</f>
        <v>9.0460999999999991</v>
      </c>
      <c r="F388" s="4">
        <f>10.0408 * CHOOSE(CONTROL!$C$12, $D$11, 100%, $F$11)</f>
        <v>10.040800000000001</v>
      </c>
      <c r="G388" s="8">
        <f>8.8287 * CHOOSE( CONTROL!$C$12, $D$11, 100%, $F$11)</f>
        <v>8.8286999999999995</v>
      </c>
      <c r="H388" s="4">
        <f>9.7113 * CHOOSE(CONTROL!$C$12, $D$11, 100%, $F$11)</f>
        <v>9.7112999999999996</v>
      </c>
      <c r="I388" s="8">
        <f>8.7693 * CHOOSE(CONTROL!$C$12, $D$11, 100%, $F$11)</f>
        <v>8.7692999999999994</v>
      </c>
      <c r="J388" s="4">
        <f>8.6637 * CHOOSE(CONTROL!$C$12, $D$11, 100%, $F$11)</f>
        <v>8.6637000000000004</v>
      </c>
      <c r="K388" s="4"/>
      <c r="L388" s="9">
        <v>27.3993</v>
      </c>
      <c r="M388" s="9">
        <v>12.063700000000001</v>
      </c>
      <c r="N388" s="9">
        <v>4.9444999999999997</v>
      </c>
      <c r="O388" s="9">
        <v>0.37459999999999999</v>
      </c>
      <c r="P388" s="9">
        <v>1.2939000000000001</v>
      </c>
      <c r="Q388" s="9">
        <v>20.331700000000001</v>
      </c>
      <c r="R388" s="9"/>
      <c r="S388" s="11"/>
    </row>
    <row r="389" spans="1:19" ht="15.75">
      <c r="A389" s="13">
        <v>53723</v>
      </c>
      <c r="B389" s="8">
        <f>9.3922 * CHOOSE(CONTROL!$C$12, $D$11, 100%, $F$11)</f>
        <v>9.3922000000000008</v>
      </c>
      <c r="C389" s="8">
        <f>9.4026 * CHOOSE(CONTROL!$C$12, $D$11, 100%, $F$11)</f>
        <v>9.4025999999999996</v>
      </c>
      <c r="D389" s="8">
        <f>9.4003 * CHOOSE( CONTROL!$C$12, $D$11, 100%, $F$11)</f>
        <v>9.4002999999999997</v>
      </c>
      <c r="E389" s="12">
        <f>9.4 * CHOOSE( CONTROL!$C$12, $D$11, 100%, $F$11)</f>
        <v>9.4</v>
      </c>
      <c r="F389" s="4">
        <f>10.4151 * CHOOSE(CONTROL!$C$12, $D$11, 100%, $F$11)</f>
        <v>10.415100000000001</v>
      </c>
      <c r="G389" s="8">
        <f>9.1827 * CHOOSE( CONTROL!$C$12, $D$11, 100%, $F$11)</f>
        <v>9.1827000000000005</v>
      </c>
      <c r="H389" s="4">
        <f>10.0761 * CHOOSE(CONTROL!$C$12, $D$11, 100%, $F$11)</f>
        <v>10.0761</v>
      </c>
      <c r="I389" s="8">
        <f>9.1079 * CHOOSE(CONTROL!$C$12, $D$11, 100%, $F$11)</f>
        <v>9.1079000000000008</v>
      </c>
      <c r="J389" s="4">
        <f>8.9948 * CHOOSE(CONTROL!$C$12, $D$11, 100%, $F$11)</f>
        <v>8.9947999999999997</v>
      </c>
      <c r="K389" s="4"/>
      <c r="L389" s="9">
        <v>27.3993</v>
      </c>
      <c r="M389" s="9">
        <v>12.063700000000001</v>
      </c>
      <c r="N389" s="9">
        <v>4.9444999999999997</v>
      </c>
      <c r="O389" s="9">
        <v>0.37459999999999999</v>
      </c>
      <c r="P389" s="9">
        <v>1.2939000000000001</v>
      </c>
      <c r="Q389" s="9">
        <v>20.2666</v>
      </c>
      <c r="R389" s="9"/>
      <c r="S389" s="11"/>
    </row>
    <row r="390" spans="1:19" ht="15.75">
      <c r="A390" s="13">
        <v>53751</v>
      </c>
      <c r="B390" s="8">
        <f>8.7853 * CHOOSE(CONTROL!$C$12, $D$11, 100%, $F$11)</f>
        <v>8.7852999999999994</v>
      </c>
      <c r="C390" s="8">
        <f>8.7958 * CHOOSE(CONTROL!$C$12, $D$11, 100%, $F$11)</f>
        <v>8.7957999999999998</v>
      </c>
      <c r="D390" s="8">
        <f>8.7957 * CHOOSE( CONTROL!$C$12, $D$11, 100%, $F$11)</f>
        <v>8.7957000000000001</v>
      </c>
      <c r="E390" s="12">
        <f>8.7946 * CHOOSE( CONTROL!$C$12, $D$11, 100%, $F$11)</f>
        <v>8.7946000000000009</v>
      </c>
      <c r="F390" s="4">
        <f>9.8004 * CHOOSE(CONTROL!$C$12, $D$11, 100%, $F$11)</f>
        <v>9.8003999999999998</v>
      </c>
      <c r="G390" s="8">
        <f>8.591 * CHOOSE( CONTROL!$C$12, $D$11, 100%, $F$11)</f>
        <v>8.5909999999999993</v>
      </c>
      <c r="H390" s="4">
        <f>9.4769 * CHOOSE(CONTROL!$C$12, $D$11, 100%, $F$11)</f>
        <v>9.4769000000000005</v>
      </c>
      <c r="I390" s="8">
        <f>8.5152 * CHOOSE(CONTROL!$C$12, $D$11, 100%, $F$11)</f>
        <v>8.5152000000000001</v>
      </c>
      <c r="J390" s="4">
        <f>8.4133 * CHOOSE(CONTROL!$C$12, $D$11, 100%, $F$11)</f>
        <v>8.4132999999999996</v>
      </c>
      <c r="K390" s="4"/>
      <c r="L390" s="9">
        <v>24.747800000000002</v>
      </c>
      <c r="M390" s="9">
        <v>10.8962</v>
      </c>
      <c r="N390" s="9">
        <v>4.4660000000000002</v>
      </c>
      <c r="O390" s="9">
        <v>0.33829999999999999</v>
      </c>
      <c r="P390" s="9">
        <v>1.1687000000000001</v>
      </c>
      <c r="Q390" s="9">
        <v>18.305299999999999</v>
      </c>
      <c r="R390" s="9"/>
      <c r="S390" s="11"/>
    </row>
    <row r="391" spans="1:19" ht="15.75">
      <c r="A391" s="13">
        <v>53782</v>
      </c>
      <c r="B391" s="8">
        <f>8.5984 * CHOOSE(CONTROL!$C$12, $D$11, 100%, $F$11)</f>
        <v>8.5983999999999998</v>
      </c>
      <c r="C391" s="8">
        <f>8.6088 * CHOOSE(CONTROL!$C$12, $D$11, 100%, $F$11)</f>
        <v>8.6088000000000005</v>
      </c>
      <c r="D391" s="8">
        <f>8.5887 * CHOOSE( CONTROL!$C$12, $D$11, 100%, $F$11)</f>
        <v>8.5886999999999993</v>
      </c>
      <c r="E391" s="12">
        <f>8.5949 * CHOOSE( CONTROL!$C$12, $D$11, 100%, $F$11)</f>
        <v>8.5949000000000009</v>
      </c>
      <c r="F391" s="4">
        <f>9.5973 * CHOOSE(CONTROL!$C$12, $D$11, 100%, $F$11)</f>
        <v>9.5973000000000006</v>
      </c>
      <c r="G391" s="8">
        <f>8.3883 * CHOOSE( CONTROL!$C$12, $D$11, 100%, $F$11)</f>
        <v>8.3882999999999992</v>
      </c>
      <c r="H391" s="4">
        <f>9.2789 * CHOOSE(CONTROL!$C$12, $D$11, 100%, $F$11)</f>
        <v>9.2789000000000001</v>
      </c>
      <c r="I391" s="8">
        <f>8.2965 * CHOOSE(CONTROL!$C$12, $D$11, 100%, $F$11)</f>
        <v>8.2965</v>
      </c>
      <c r="J391" s="4">
        <f>8.2342 * CHOOSE(CONTROL!$C$12, $D$11, 100%, $F$11)</f>
        <v>8.2341999999999995</v>
      </c>
      <c r="K391" s="4"/>
      <c r="L391" s="9">
        <v>27.3993</v>
      </c>
      <c r="M391" s="9">
        <v>12.063700000000001</v>
      </c>
      <c r="N391" s="9">
        <v>4.9444999999999997</v>
      </c>
      <c r="O391" s="9">
        <v>0.37459999999999999</v>
      </c>
      <c r="P391" s="9">
        <v>1.2939000000000001</v>
      </c>
      <c r="Q391" s="9">
        <v>20.2666</v>
      </c>
      <c r="R391" s="9"/>
      <c r="S391" s="11"/>
    </row>
    <row r="392" spans="1:19" ht="15.75">
      <c r="A392" s="13">
        <v>53812</v>
      </c>
      <c r="B392" s="8">
        <f>8.729 * CHOOSE(CONTROL!$C$12, $D$11, 100%, $F$11)</f>
        <v>8.7289999999999992</v>
      </c>
      <c r="C392" s="8">
        <f>8.7395 * CHOOSE(CONTROL!$C$12, $D$11, 100%, $F$11)</f>
        <v>8.7394999999999996</v>
      </c>
      <c r="D392" s="8">
        <f>8.7427 * CHOOSE( CONTROL!$C$12, $D$11, 100%, $F$11)</f>
        <v>8.7426999999999992</v>
      </c>
      <c r="E392" s="12">
        <f>8.7404 * CHOOSE( CONTROL!$C$12, $D$11, 100%, $F$11)</f>
        <v>8.7403999999999993</v>
      </c>
      <c r="F392" s="4">
        <f>9.7363 * CHOOSE(CONTROL!$C$12, $D$11, 100%, $F$11)</f>
        <v>9.7363</v>
      </c>
      <c r="G392" s="8">
        <f>8.5035 * CHOOSE( CONTROL!$C$12, $D$11, 100%, $F$11)</f>
        <v>8.5035000000000007</v>
      </c>
      <c r="H392" s="4">
        <f>9.4144 * CHOOSE(CONTROL!$C$12, $D$11, 100%, $F$11)</f>
        <v>9.4144000000000005</v>
      </c>
      <c r="I392" s="8">
        <f>8.4118 * CHOOSE(CONTROL!$C$12, $D$11, 100%, $F$11)</f>
        <v>8.4117999999999995</v>
      </c>
      <c r="J392" s="4">
        <f>8.3594 * CHOOSE(CONTROL!$C$12, $D$11, 100%, $F$11)</f>
        <v>8.3594000000000008</v>
      </c>
      <c r="K392" s="4"/>
      <c r="L392" s="9">
        <v>27.988800000000001</v>
      </c>
      <c r="M392" s="9">
        <v>11.6745</v>
      </c>
      <c r="N392" s="9">
        <v>4.7850000000000001</v>
      </c>
      <c r="O392" s="9">
        <v>0.36249999999999999</v>
      </c>
      <c r="P392" s="9">
        <v>1.1798</v>
      </c>
      <c r="Q392" s="9">
        <v>19.6128</v>
      </c>
      <c r="R392" s="9"/>
      <c r="S392" s="11"/>
    </row>
    <row r="393" spans="1:19" ht="15.75">
      <c r="A393" s="13">
        <v>53843</v>
      </c>
      <c r="B393" s="8">
        <f>CHOOSE( CONTROL!$C$29, 8.9657, 8.9615) * CHOOSE(CONTROL!$C$12, $D$11, 100%, $F$11)</f>
        <v>8.9657</v>
      </c>
      <c r="C393" s="8">
        <f>CHOOSE( CONTROL!$C$29, 8.9762, 8.9719) * CHOOSE(CONTROL!$C$12, $D$11, 100%, $F$11)</f>
        <v>8.9762000000000004</v>
      </c>
      <c r="D393" s="8">
        <f>CHOOSE( CONTROL!$C$29, 8.9541, 8.9498) * CHOOSE( CONTROL!$C$12, $D$11, 100%, $F$11)</f>
        <v>8.9541000000000004</v>
      </c>
      <c r="E393" s="12">
        <f>CHOOSE( CONTROL!$C$29, 8.9605, 8.9562) * CHOOSE( CONTROL!$C$12, $D$11, 100%, $F$11)</f>
        <v>8.9604999999999997</v>
      </c>
      <c r="F393" s="4">
        <f>CHOOSE( CONTROL!$C$29, 9.9406, 9.9364) * CHOOSE(CONTROL!$C$12, $D$11, 100%, $F$11)</f>
        <v>9.9405999999999999</v>
      </c>
      <c r="G393" s="8">
        <f>CHOOSE( CONTROL!$C$29, 8.7155, 8.7114) * CHOOSE( CONTROL!$C$12, $D$11, 100%, $F$11)</f>
        <v>8.7155000000000005</v>
      </c>
      <c r="H393" s="4">
        <f>CHOOSE( CONTROL!$C$29, 9.6136, 9.6095) * CHOOSE(CONTROL!$C$12, $D$11, 100%, $F$11)</f>
        <v>9.6135999999999999</v>
      </c>
      <c r="I393" s="8">
        <f>CHOOSE( CONTROL!$C$29, 8.6172, 8.6131) * CHOOSE(CONTROL!$C$12, $D$11, 100%, $F$11)</f>
        <v>8.6172000000000004</v>
      </c>
      <c r="J393" s="4">
        <f>CHOOSE( CONTROL!$C$29, 8.5862, 8.5821) * CHOOSE(CONTROL!$C$12, $D$11, 100%, $F$11)</f>
        <v>8.5861999999999998</v>
      </c>
      <c r="K393" s="4"/>
      <c r="L393" s="9">
        <v>29.520499999999998</v>
      </c>
      <c r="M393" s="9">
        <v>12.063700000000001</v>
      </c>
      <c r="N393" s="9">
        <v>4.9444999999999997</v>
      </c>
      <c r="O393" s="9">
        <v>0.37459999999999999</v>
      </c>
      <c r="P393" s="9">
        <v>1.2192000000000001</v>
      </c>
      <c r="Q393" s="9">
        <v>20.2666</v>
      </c>
      <c r="R393" s="9"/>
      <c r="S393" s="11"/>
    </row>
    <row r="394" spans="1:19" ht="15.75">
      <c r="A394" s="13">
        <v>53873</v>
      </c>
      <c r="B394" s="8">
        <f>CHOOSE( CONTROL!$C$29, 8.8217, 8.8175) * CHOOSE(CONTROL!$C$12, $D$11, 100%, $F$11)</f>
        <v>8.8216999999999999</v>
      </c>
      <c r="C394" s="8">
        <f>CHOOSE( CONTROL!$C$29, 8.8322, 8.8279) * CHOOSE(CONTROL!$C$12, $D$11, 100%, $F$11)</f>
        <v>8.8322000000000003</v>
      </c>
      <c r="D394" s="8">
        <f>CHOOSE( CONTROL!$C$29, 8.8045, 8.8002) * CHOOSE( CONTROL!$C$12, $D$11, 100%, $F$11)</f>
        <v>8.8045000000000009</v>
      </c>
      <c r="E394" s="12">
        <f>CHOOSE( CONTROL!$C$29, 8.8129, 8.8087) * CHOOSE( CONTROL!$C$12, $D$11, 100%, $F$11)</f>
        <v>8.8129000000000008</v>
      </c>
      <c r="F394" s="4">
        <f>CHOOSE( CONTROL!$C$29, 9.7862, 9.7819) * CHOOSE(CONTROL!$C$12, $D$11, 100%, $F$11)</f>
        <v>9.7861999999999991</v>
      </c>
      <c r="G394" s="8">
        <f>CHOOSE( CONTROL!$C$29, 8.5739, 8.5697) * CHOOSE( CONTROL!$C$12, $D$11, 100%, $F$11)</f>
        <v>8.5739000000000001</v>
      </c>
      <c r="H394" s="4">
        <f>CHOOSE( CONTROL!$C$29, 9.463, 9.4589) * CHOOSE(CONTROL!$C$12, $D$11, 100%, $F$11)</f>
        <v>9.4629999999999992</v>
      </c>
      <c r="I394" s="8">
        <f>CHOOSE( CONTROL!$C$29, 8.4813, 8.4772) * CHOOSE(CONTROL!$C$12, $D$11, 100%, $F$11)</f>
        <v>8.4812999999999992</v>
      </c>
      <c r="J394" s="4">
        <f>CHOOSE( CONTROL!$C$29, 8.4482, 8.4442) * CHOOSE(CONTROL!$C$12, $D$11, 100%, $F$11)</f>
        <v>8.4481999999999999</v>
      </c>
      <c r="K394" s="4"/>
      <c r="L394" s="9">
        <v>28.568200000000001</v>
      </c>
      <c r="M394" s="9">
        <v>11.6745</v>
      </c>
      <c r="N394" s="9">
        <v>4.7850000000000001</v>
      </c>
      <c r="O394" s="9">
        <v>0.36249999999999999</v>
      </c>
      <c r="P394" s="9">
        <v>1.1798</v>
      </c>
      <c r="Q394" s="9">
        <v>19.6128</v>
      </c>
      <c r="R394" s="9"/>
      <c r="S394" s="11"/>
    </row>
    <row r="395" spans="1:19" ht="15.75">
      <c r="A395" s="13">
        <v>53904</v>
      </c>
      <c r="B395" s="8">
        <f>CHOOSE( CONTROL!$C$29, 9.2009, 9.1967) * CHOOSE(CONTROL!$C$12, $D$11, 100%, $F$11)</f>
        <v>9.2009000000000007</v>
      </c>
      <c r="C395" s="8">
        <f>CHOOSE( CONTROL!$C$29, 9.2114, 9.2071) * CHOOSE(CONTROL!$C$12, $D$11, 100%, $F$11)</f>
        <v>9.2113999999999994</v>
      </c>
      <c r="D395" s="8">
        <f>CHOOSE( CONTROL!$C$29, 9.2175, 9.2132) * CHOOSE( CONTROL!$C$12, $D$11, 100%, $F$11)</f>
        <v>9.2174999999999994</v>
      </c>
      <c r="E395" s="12">
        <f>CHOOSE( CONTROL!$C$29, 9.2137, 9.2094) * CHOOSE( CONTROL!$C$12, $D$11, 100%, $F$11)</f>
        <v>9.2136999999999993</v>
      </c>
      <c r="F395" s="4">
        <f>CHOOSE( CONTROL!$C$29, 10.2108, 10.2065) * CHOOSE(CONTROL!$C$12, $D$11, 100%, $F$11)</f>
        <v>10.210800000000001</v>
      </c>
      <c r="G395" s="8">
        <f>CHOOSE( CONTROL!$C$29, 8.9695, 8.9654) * CHOOSE( CONTROL!$C$12, $D$11, 100%, $F$11)</f>
        <v>8.9695</v>
      </c>
      <c r="H395" s="4">
        <f>CHOOSE( CONTROL!$C$29, 9.8769, 9.8728) * CHOOSE(CONTROL!$C$12, $D$11, 100%, $F$11)</f>
        <v>9.8768999999999991</v>
      </c>
      <c r="I395" s="8">
        <f>CHOOSE( CONTROL!$C$29, 8.9001, 8.8961) * CHOOSE(CONTROL!$C$12, $D$11, 100%, $F$11)</f>
        <v>8.9001000000000001</v>
      </c>
      <c r="J395" s="4">
        <f>CHOOSE( CONTROL!$C$29, 8.8116, 8.8075) * CHOOSE(CONTROL!$C$12, $D$11, 100%, $F$11)</f>
        <v>8.8116000000000003</v>
      </c>
      <c r="K395" s="4"/>
      <c r="L395" s="9">
        <v>29.520499999999998</v>
      </c>
      <c r="M395" s="9">
        <v>12.063700000000001</v>
      </c>
      <c r="N395" s="9">
        <v>4.9444999999999997</v>
      </c>
      <c r="O395" s="9">
        <v>0.37459999999999999</v>
      </c>
      <c r="P395" s="9">
        <v>1.2192000000000001</v>
      </c>
      <c r="Q395" s="9">
        <v>20.2666</v>
      </c>
      <c r="R395" s="9"/>
      <c r="S395" s="11"/>
    </row>
    <row r="396" spans="1:19" ht="15.75">
      <c r="A396" s="13">
        <v>53935</v>
      </c>
      <c r="B396" s="8">
        <f>CHOOSE( CONTROL!$C$29, 8.4914, 8.4872) * CHOOSE(CONTROL!$C$12, $D$11, 100%, $F$11)</f>
        <v>8.4914000000000005</v>
      </c>
      <c r="C396" s="8">
        <f>CHOOSE( CONTROL!$C$29, 8.5018, 8.4976) * CHOOSE(CONTROL!$C$12, $D$11, 100%, $F$11)</f>
        <v>8.5017999999999994</v>
      </c>
      <c r="D396" s="8">
        <f>CHOOSE( CONTROL!$C$29, 8.5244, 8.5202) * CHOOSE( CONTROL!$C$12, $D$11, 100%, $F$11)</f>
        <v>8.5244</v>
      </c>
      <c r="E396" s="12">
        <f>CHOOSE( CONTROL!$C$29, 8.5146, 8.5104) * CHOOSE( CONTROL!$C$12, $D$11, 100%, $F$11)</f>
        <v>8.5145999999999997</v>
      </c>
      <c r="F396" s="4">
        <f>CHOOSE( CONTROL!$C$29, 9.53, 9.5257) * CHOOSE(CONTROL!$C$12, $D$11, 100%, $F$11)</f>
        <v>9.5299999999999994</v>
      </c>
      <c r="G396" s="8">
        <f>CHOOSE( CONTROL!$C$29, 8.2835, 8.2794) * CHOOSE( CONTROL!$C$12, $D$11, 100%, $F$11)</f>
        <v>8.2835000000000001</v>
      </c>
      <c r="H396" s="4">
        <f>CHOOSE( CONTROL!$C$29, 9.2133, 9.2091) * CHOOSE(CONTROL!$C$12, $D$11, 100%, $F$11)</f>
        <v>9.2133000000000003</v>
      </c>
      <c r="I396" s="8">
        <f>CHOOSE( CONTROL!$C$29, 8.2114, 8.2073) * CHOOSE(CONTROL!$C$12, $D$11, 100%, $F$11)</f>
        <v>8.2113999999999994</v>
      </c>
      <c r="J396" s="4">
        <f>CHOOSE( CONTROL!$C$29, 8.1317, 8.1276) * CHOOSE(CONTROL!$C$12, $D$11, 100%, $F$11)</f>
        <v>8.1317000000000004</v>
      </c>
      <c r="K396" s="4"/>
      <c r="L396" s="9">
        <v>29.520499999999998</v>
      </c>
      <c r="M396" s="9">
        <v>12.063700000000001</v>
      </c>
      <c r="N396" s="9">
        <v>4.9444999999999997</v>
      </c>
      <c r="O396" s="9">
        <v>0.37459999999999999</v>
      </c>
      <c r="P396" s="9">
        <v>1.2192000000000001</v>
      </c>
      <c r="Q396" s="9">
        <v>20.2666</v>
      </c>
      <c r="R396" s="9"/>
      <c r="S396" s="11"/>
    </row>
    <row r="397" spans="1:19" ht="15.75">
      <c r="A397" s="13">
        <v>53965</v>
      </c>
      <c r="B397" s="8">
        <f>CHOOSE( CONTROL!$C$29, 8.3137, 8.3095) * CHOOSE(CONTROL!$C$12, $D$11, 100%, $F$11)</f>
        <v>8.3137000000000008</v>
      </c>
      <c r="C397" s="8">
        <f>CHOOSE( CONTROL!$C$29, 8.3242, 8.3199) * CHOOSE(CONTROL!$C$12, $D$11, 100%, $F$11)</f>
        <v>8.3241999999999994</v>
      </c>
      <c r="D397" s="8">
        <f>CHOOSE( CONTROL!$C$29, 8.3467, 8.3425) * CHOOSE( CONTROL!$C$12, $D$11, 100%, $F$11)</f>
        <v>8.3467000000000002</v>
      </c>
      <c r="E397" s="12">
        <f>CHOOSE( CONTROL!$C$29, 8.3369, 8.3327) * CHOOSE( CONTROL!$C$12, $D$11, 100%, $F$11)</f>
        <v>8.3369</v>
      </c>
      <c r="F397" s="4">
        <f>CHOOSE( CONTROL!$C$29, 9.3523, 9.348) * CHOOSE(CONTROL!$C$12, $D$11, 100%, $F$11)</f>
        <v>9.3522999999999996</v>
      </c>
      <c r="G397" s="8">
        <f>CHOOSE( CONTROL!$C$29, 8.11, 8.1059) * CHOOSE( CONTROL!$C$12, $D$11, 100%, $F$11)</f>
        <v>8.11</v>
      </c>
      <c r="H397" s="4">
        <f>CHOOSE( CONTROL!$C$29, 9.0401, 9.036) * CHOOSE(CONTROL!$C$12, $D$11, 100%, $F$11)</f>
        <v>9.0401000000000007</v>
      </c>
      <c r="I397" s="8">
        <f>CHOOSE( CONTROL!$C$29, 8.0393, 8.0353) * CHOOSE(CONTROL!$C$12, $D$11, 100%, $F$11)</f>
        <v>8.0393000000000008</v>
      </c>
      <c r="J397" s="4">
        <f>CHOOSE( CONTROL!$C$29, 7.9614, 7.9574) * CHOOSE(CONTROL!$C$12, $D$11, 100%, $F$11)</f>
        <v>7.9614000000000003</v>
      </c>
      <c r="K397" s="4"/>
      <c r="L397" s="9">
        <v>28.568200000000001</v>
      </c>
      <c r="M397" s="9">
        <v>11.6745</v>
      </c>
      <c r="N397" s="9">
        <v>4.7850000000000001</v>
      </c>
      <c r="O397" s="9">
        <v>0.36249999999999999</v>
      </c>
      <c r="P397" s="9">
        <v>1.1798</v>
      </c>
      <c r="Q397" s="9">
        <v>19.6128</v>
      </c>
      <c r="R397" s="9"/>
      <c r="S397" s="11"/>
    </row>
    <row r="398" spans="1:19" ht="15.75">
      <c r="A398" s="13">
        <v>53996</v>
      </c>
      <c r="B398" s="8">
        <f>8.6784 * CHOOSE(CONTROL!$C$12, $D$11, 100%, $F$11)</f>
        <v>8.6783999999999999</v>
      </c>
      <c r="C398" s="8">
        <f>8.6888 * CHOOSE(CONTROL!$C$12, $D$11, 100%, $F$11)</f>
        <v>8.6888000000000005</v>
      </c>
      <c r="D398" s="8">
        <f>8.6933 * CHOOSE( CONTROL!$C$12, $D$11, 100%, $F$11)</f>
        <v>8.6933000000000007</v>
      </c>
      <c r="E398" s="12">
        <f>8.6907 * CHOOSE( CONTROL!$C$12, $D$11, 100%, $F$11)</f>
        <v>8.6906999999999996</v>
      </c>
      <c r="F398" s="4">
        <f>9.6856 * CHOOSE(CONTROL!$C$12, $D$11, 100%, $F$11)</f>
        <v>9.6856000000000009</v>
      </c>
      <c r="G398" s="8">
        <f>8.4558 * CHOOSE( CONTROL!$C$12, $D$11, 100%, $F$11)</f>
        <v>8.4558</v>
      </c>
      <c r="H398" s="4">
        <f>9.365 * CHOOSE(CONTROL!$C$12, $D$11, 100%, $F$11)</f>
        <v>9.3650000000000002</v>
      </c>
      <c r="I398" s="8">
        <f>8.3856 * CHOOSE(CONTROL!$C$12, $D$11, 100%, $F$11)</f>
        <v>8.3856000000000002</v>
      </c>
      <c r="J398" s="4">
        <f>8.3109 * CHOOSE(CONTROL!$C$12, $D$11, 100%, $F$11)</f>
        <v>8.3109000000000002</v>
      </c>
      <c r="K398" s="4"/>
      <c r="L398" s="9">
        <v>28.921800000000001</v>
      </c>
      <c r="M398" s="9">
        <v>12.063700000000001</v>
      </c>
      <c r="N398" s="9">
        <v>4.9444999999999997</v>
      </c>
      <c r="O398" s="9">
        <v>0.37459999999999999</v>
      </c>
      <c r="P398" s="9">
        <v>1.2192000000000001</v>
      </c>
      <c r="Q398" s="9">
        <v>20.2666</v>
      </c>
      <c r="R398" s="9"/>
      <c r="S398" s="11"/>
    </row>
    <row r="399" spans="1:19" ht="15.75">
      <c r="A399" s="13">
        <v>54026</v>
      </c>
      <c r="B399" s="8">
        <f>9.3593 * CHOOSE(CONTROL!$C$12, $D$11, 100%, $F$11)</f>
        <v>9.3592999999999993</v>
      </c>
      <c r="C399" s="8">
        <f>9.3698 * CHOOSE(CONTROL!$C$12, $D$11, 100%, $F$11)</f>
        <v>9.3697999999999997</v>
      </c>
      <c r="D399" s="8">
        <f>9.3522 * CHOOSE( CONTROL!$C$12, $D$11, 100%, $F$11)</f>
        <v>9.3521999999999998</v>
      </c>
      <c r="E399" s="12">
        <f>9.3575 * CHOOSE( CONTROL!$C$12, $D$11, 100%, $F$11)</f>
        <v>9.3574999999999999</v>
      </c>
      <c r="F399" s="4">
        <f>10.3535 * CHOOSE(CONTROL!$C$12, $D$11, 100%, $F$11)</f>
        <v>10.3535</v>
      </c>
      <c r="G399" s="8">
        <f>9.132 * CHOOSE( CONTROL!$C$12, $D$11, 100%, $F$11)</f>
        <v>9.1319999999999997</v>
      </c>
      <c r="H399" s="4">
        <f>10.0161 * CHOOSE(CONTROL!$C$12, $D$11, 100%, $F$11)</f>
        <v>10.0161</v>
      </c>
      <c r="I399" s="8">
        <f>9.0618 * CHOOSE(CONTROL!$C$12, $D$11, 100%, $F$11)</f>
        <v>9.0617999999999999</v>
      </c>
      <c r="J399" s="4">
        <f>8.9634 * CHOOSE(CONTROL!$C$12, $D$11, 100%, $F$11)</f>
        <v>8.9634</v>
      </c>
      <c r="K399" s="4"/>
      <c r="L399" s="9">
        <v>26.515499999999999</v>
      </c>
      <c r="M399" s="9">
        <v>11.6745</v>
      </c>
      <c r="N399" s="9">
        <v>4.7850000000000001</v>
      </c>
      <c r="O399" s="9">
        <v>0.36249999999999999</v>
      </c>
      <c r="P399" s="9">
        <v>1.2522</v>
      </c>
      <c r="Q399" s="9">
        <v>19.6128</v>
      </c>
      <c r="R399" s="9"/>
      <c r="S399" s="11"/>
    </row>
    <row r="400" spans="1:19" ht="15.75">
      <c r="A400" s="13">
        <v>54057</v>
      </c>
      <c r="B400" s="8">
        <f>9.3423 * CHOOSE(CONTROL!$C$12, $D$11, 100%, $F$11)</f>
        <v>9.3422999999999998</v>
      </c>
      <c r="C400" s="8">
        <f>9.3528 * CHOOSE(CONTROL!$C$12, $D$11, 100%, $F$11)</f>
        <v>9.3528000000000002</v>
      </c>
      <c r="D400" s="8">
        <f>9.3372 * CHOOSE( CONTROL!$C$12, $D$11, 100%, $F$11)</f>
        <v>9.3371999999999993</v>
      </c>
      <c r="E400" s="12">
        <f>9.3418 * CHOOSE( CONTROL!$C$12, $D$11, 100%, $F$11)</f>
        <v>9.3417999999999992</v>
      </c>
      <c r="F400" s="4">
        <f>10.3365 * CHOOSE(CONTROL!$C$12, $D$11, 100%, $F$11)</f>
        <v>10.336499999999999</v>
      </c>
      <c r="G400" s="8">
        <f>9.1169 * CHOOSE( CONTROL!$C$12, $D$11, 100%, $F$11)</f>
        <v>9.1168999999999993</v>
      </c>
      <c r="H400" s="4">
        <f>9.9995 * CHOOSE(CONTROL!$C$12, $D$11, 100%, $F$11)</f>
        <v>9.9994999999999994</v>
      </c>
      <c r="I400" s="8">
        <f>9.0528 * CHOOSE(CONTROL!$C$12, $D$11, 100%, $F$11)</f>
        <v>9.0527999999999995</v>
      </c>
      <c r="J400" s="4">
        <f>8.9471 * CHOOSE(CONTROL!$C$12, $D$11, 100%, $F$11)</f>
        <v>8.9471000000000007</v>
      </c>
      <c r="K400" s="4"/>
      <c r="L400" s="9">
        <v>27.3993</v>
      </c>
      <c r="M400" s="9">
        <v>12.063700000000001</v>
      </c>
      <c r="N400" s="9">
        <v>4.9444999999999997</v>
      </c>
      <c r="O400" s="9">
        <v>0.37459999999999999</v>
      </c>
      <c r="P400" s="9">
        <v>1.2939000000000001</v>
      </c>
      <c r="Q400" s="9">
        <v>20.2666</v>
      </c>
      <c r="R400" s="9"/>
      <c r="S400" s="11"/>
    </row>
    <row r="401" spans="1:19" ht="15.75">
      <c r="A401" s="13">
        <v>54088</v>
      </c>
      <c r="B401" s="8">
        <f>9.6992 * CHOOSE(CONTROL!$C$12, $D$11, 100%, $F$11)</f>
        <v>9.6991999999999994</v>
      </c>
      <c r="C401" s="8">
        <f>9.7096 * CHOOSE(CONTROL!$C$12, $D$11, 100%, $F$11)</f>
        <v>9.7096</v>
      </c>
      <c r="D401" s="8">
        <f>9.7073 * CHOOSE( CONTROL!$C$12, $D$11, 100%, $F$11)</f>
        <v>9.7073</v>
      </c>
      <c r="E401" s="12">
        <f>9.707 * CHOOSE( CONTROL!$C$12, $D$11, 100%, $F$11)</f>
        <v>9.7070000000000007</v>
      </c>
      <c r="F401" s="4">
        <f>10.7221 * CHOOSE(CONTROL!$C$12, $D$11, 100%, $F$11)</f>
        <v>10.722099999999999</v>
      </c>
      <c r="G401" s="8">
        <f>9.482 * CHOOSE( CONTROL!$C$12, $D$11, 100%, $F$11)</f>
        <v>9.4819999999999993</v>
      </c>
      <c r="H401" s="4">
        <f>10.3753 * CHOOSE(CONTROL!$C$12, $D$11, 100%, $F$11)</f>
        <v>10.375299999999999</v>
      </c>
      <c r="I401" s="8">
        <f>9.4022 * CHOOSE(CONTROL!$C$12, $D$11, 100%, $F$11)</f>
        <v>9.4022000000000006</v>
      </c>
      <c r="J401" s="4">
        <f>9.289 * CHOOSE(CONTROL!$C$12, $D$11, 100%, $F$11)</f>
        <v>9.2889999999999997</v>
      </c>
      <c r="K401" s="4"/>
      <c r="L401" s="9">
        <v>27.3993</v>
      </c>
      <c r="M401" s="9">
        <v>12.063700000000001</v>
      </c>
      <c r="N401" s="9">
        <v>4.9444999999999997</v>
      </c>
      <c r="O401" s="9">
        <v>0.37459999999999999</v>
      </c>
      <c r="P401" s="9">
        <v>1.2939000000000001</v>
      </c>
      <c r="Q401" s="9">
        <v>20.201499999999999</v>
      </c>
      <c r="R401" s="9"/>
      <c r="S401" s="11"/>
    </row>
    <row r="402" spans="1:19" ht="15.75">
      <c r="A402" s="13">
        <v>54116</v>
      </c>
      <c r="B402" s="8">
        <f>9.0725 * CHOOSE(CONTROL!$C$12, $D$11, 100%, $F$11)</f>
        <v>9.0724999999999998</v>
      </c>
      <c r="C402" s="8">
        <f>9.0829 * CHOOSE(CONTROL!$C$12, $D$11, 100%, $F$11)</f>
        <v>9.0829000000000004</v>
      </c>
      <c r="D402" s="8">
        <f>9.0829 * CHOOSE( CONTROL!$C$12, $D$11, 100%, $F$11)</f>
        <v>9.0829000000000004</v>
      </c>
      <c r="E402" s="12">
        <f>9.0818 * CHOOSE( CONTROL!$C$12, $D$11, 100%, $F$11)</f>
        <v>9.0817999999999994</v>
      </c>
      <c r="F402" s="4">
        <f>10.0876 * CHOOSE(CONTROL!$C$12, $D$11, 100%, $F$11)</f>
        <v>10.0876</v>
      </c>
      <c r="G402" s="8">
        <f>8.8709 * CHOOSE( CONTROL!$C$12, $D$11, 100%, $F$11)</f>
        <v>8.8709000000000007</v>
      </c>
      <c r="H402" s="4">
        <f>9.7568 * CHOOSE(CONTROL!$C$12, $D$11, 100%, $F$11)</f>
        <v>9.7568000000000001</v>
      </c>
      <c r="I402" s="8">
        <f>8.7905 * CHOOSE(CONTROL!$C$12, $D$11, 100%, $F$11)</f>
        <v>8.7904999999999998</v>
      </c>
      <c r="J402" s="4">
        <f>8.6885 * CHOOSE(CONTROL!$C$12, $D$11, 100%, $F$11)</f>
        <v>8.6884999999999994</v>
      </c>
      <c r="K402" s="4"/>
      <c r="L402" s="9">
        <v>25.631599999999999</v>
      </c>
      <c r="M402" s="9">
        <v>11.285299999999999</v>
      </c>
      <c r="N402" s="9">
        <v>4.6254999999999997</v>
      </c>
      <c r="O402" s="9">
        <v>0.35039999999999999</v>
      </c>
      <c r="P402" s="9">
        <v>1.2104999999999999</v>
      </c>
      <c r="Q402" s="9">
        <v>18.898099999999999</v>
      </c>
      <c r="R402" s="9"/>
      <c r="S402" s="11"/>
    </row>
    <row r="403" spans="1:19" ht="15.75">
      <c r="A403" s="13">
        <v>54148</v>
      </c>
      <c r="B403" s="8">
        <f>8.8794 * CHOOSE(CONTROL!$C$12, $D$11, 100%, $F$11)</f>
        <v>8.8794000000000004</v>
      </c>
      <c r="C403" s="8">
        <f>8.8899 * CHOOSE(CONTROL!$C$12, $D$11, 100%, $F$11)</f>
        <v>8.8899000000000008</v>
      </c>
      <c r="D403" s="8">
        <f>8.8697 * CHOOSE( CONTROL!$C$12, $D$11, 100%, $F$11)</f>
        <v>8.8696999999999999</v>
      </c>
      <c r="E403" s="12">
        <f>8.876 * CHOOSE( CONTROL!$C$12, $D$11, 100%, $F$11)</f>
        <v>8.8759999999999994</v>
      </c>
      <c r="F403" s="4">
        <f>9.8784 * CHOOSE(CONTROL!$C$12, $D$11, 100%, $F$11)</f>
        <v>9.8783999999999992</v>
      </c>
      <c r="G403" s="8">
        <f>8.6623 * CHOOSE( CONTROL!$C$12, $D$11, 100%, $F$11)</f>
        <v>8.6623000000000001</v>
      </c>
      <c r="H403" s="4">
        <f>9.5529 * CHOOSE(CONTROL!$C$12, $D$11, 100%, $F$11)</f>
        <v>9.5528999999999993</v>
      </c>
      <c r="I403" s="8">
        <f>8.5659 * CHOOSE(CONTROL!$C$12, $D$11, 100%, $F$11)</f>
        <v>8.5658999999999992</v>
      </c>
      <c r="J403" s="4">
        <f>8.5035 * CHOOSE(CONTROL!$C$12, $D$11, 100%, $F$11)</f>
        <v>8.5035000000000007</v>
      </c>
      <c r="K403" s="4"/>
      <c r="L403" s="9">
        <v>27.3993</v>
      </c>
      <c r="M403" s="9">
        <v>12.063700000000001</v>
      </c>
      <c r="N403" s="9">
        <v>4.9444999999999997</v>
      </c>
      <c r="O403" s="9">
        <v>0.37459999999999999</v>
      </c>
      <c r="P403" s="9">
        <v>1.2939000000000001</v>
      </c>
      <c r="Q403" s="9">
        <v>20.201499999999999</v>
      </c>
      <c r="R403" s="9"/>
      <c r="S403" s="11"/>
    </row>
    <row r="404" spans="1:19" ht="15.75">
      <c r="A404" s="13">
        <v>54178</v>
      </c>
      <c r="B404" s="8">
        <f>9.0143 * CHOOSE(CONTROL!$C$12, $D$11, 100%, $F$11)</f>
        <v>9.0143000000000004</v>
      </c>
      <c r="C404" s="8">
        <f>9.0248 * CHOOSE(CONTROL!$C$12, $D$11, 100%, $F$11)</f>
        <v>9.0248000000000008</v>
      </c>
      <c r="D404" s="8">
        <f>9.028 * CHOOSE( CONTROL!$C$12, $D$11, 100%, $F$11)</f>
        <v>9.0280000000000005</v>
      </c>
      <c r="E404" s="12">
        <f>9.0257 * CHOOSE( CONTROL!$C$12, $D$11, 100%, $F$11)</f>
        <v>9.0257000000000005</v>
      </c>
      <c r="F404" s="4">
        <f>10.0216 * CHOOSE(CONTROL!$C$12, $D$11, 100%, $F$11)</f>
        <v>10.021599999999999</v>
      </c>
      <c r="G404" s="8">
        <f>8.7816 * CHOOSE( CONTROL!$C$12, $D$11, 100%, $F$11)</f>
        <v>8.7815999999999992</v>
      </c>
      <c r="H404" s="4">
        <f>9.6925 * CHOOSE(CONTROL!$C$12, $D$11, 100%, $F$11)</f>
        <v>9.6925000000000008</v>
      </c>
      <c r="I404" s="8">
        <f>8.6853 * CHOOSE(CONTROL!$C$12, $D$11, 100%, $F$11)</f>
        <v>8.6852999999999998</v>
      </c>
      <c r="J404" s="4">
        <f>8.6328 * CHOOSE(CONTROL!$C$12, $D$11, 100%, $F$11)</f>
        <v>8.6327999999999996</v>
      </c>
      <c r="K404" s="4"/>
      <c r="L404" s="9">
        <v>27.988800000000001</v>
      </c>
      <c r="M404" s="9">
        <v>11.6745</v>
      </c>
      <c r="N404" s="9">
        <v>4.7850000000000001</v>
      </c>
      <c r="O404" s="9">
        <v>0.36249999999999999</v>
      </c>
      <c r="P404" s="9">
        <v>1.1798</v>
      </c>
      <c r="Q404" s="9">
        <v>19.549800000000001</v>
      </c>
      <c r="R404" s="9"/>
      <c r="S404" s="11"/>
    </row>
    <row r="405" spans="1:19" ht="15.75">
      <c r="A405" s="13">
        <v>54209</v>
      </c>
      <c r="B405" s="8">
        <f>CHOOSE( CONTROL!$C$29, 9.2586, 9.2544) * CHOOSE(CONTROL!$C$12, $D$11, 100%, $F$11)</f>
        <v>9.2585999999999995</v>
      </c>
      <c r="C405" s="8">
        <f>CHOOSE( CONTROL!$C$29, 9.2691, 9.2648) * CHOOSE(CONTROL!$C$12, $D$11, 100%, $F$11)</f>
        <v>9.2690999999999999</v>
      </c>
      <c r="D405" s="8">
        <f>CHOOSE( CONTROL!$C$29, 9.247, 9.2427) * CHOOSE( CONTROL!$C$12, $D$11, 100%, $F$11)</f>
        <v>9.2469999999999999</v>
      </c>
      <c r="E405" s="12">
        <f>CHOOSE( CONTROL!$C$29, 9.2534, 9.2491) * CHOOSE( CONTROL!$C$12, $D$11, 100%, $F$11)</f>
        <v>9.2533999999999992</v>
      </c>
      <c r="F405" s="4">
        <f>CHOOSE( CONTROL!$C$29, 10.2335, 10.2293) * CHOOSE(CONTROL!$C$12, $D$11, 100%, $F$11)</f>
        <v>10.233499999999999</v>
      </c>
      <c r="G405" s="8">
        <f>CHOOSE( CONTROL!$C$29, 9.001, 8.9969) * CHOOSE( CONTROL!$C$12, $D$11, 100%, $F$11)</f>
        <v>9.0009999999999994</v>
      </c>
      <c r="H405" s="4">
        <f>CHOOSE( CONTROL!$C$29, 9.8991, 9.895) * CHOOSE(CONTROL!$C$12, $D$11, 100%, $F$11)</f>
        <v>9.8991000000000007</v>
      </c>
      <c r="I405" s="8">
        <f>CHOOSE( CONTROL!$C$29, 8.898, 8.8939) * CHOOSE(CONTROL!$C$12, $D$11, 100%, $F$11)</f>
        <v>8.8979999999999997</v>
      </c>
      <c r="J405" s="4">
        <f>CHOOSE( CONTROL!$C$29, 8.8669, 8.8628) * CHOOSE(CONTROL!$C$12, $D$11, 100%, $F$11)</f>
        <v>8.8668999999999993</v>
      </c>
      <c r="K405" s="4"/>
      <c r="L405" s="9">
        <v>29.520499999999998</v>
      </c>
      <c r="M405" s="9">
        <v>12.063700000000001</v>
      </c>
      <c r="N405" s="9">
        <v>4.9444999999999997</v>
      </c>
      <c r="O405" s="9">
        <v>0.37459999999999999</v>
      </c>
      <c r="P405" s="9">
        <v>1.2192000000000001</v>
      </c>
      <c r="Q405" s="9">
        <v>20.201499999999999</v>
      </c>
      <c r="R405" s="9"/>
      <c r="S405" s="11"/>
    </row>
    <row r="406" spans="1:19" ht="15.75">
      <c r="A406" s="13">
        <v>54239</v>
      </c>
      <c r="B406" s="8">
        <f>CHOOSE( CONTROL!$C$29, 9.1099, 9.1057) * CHOOSE(CONTROL!$C$12, $D$11, 100%, $F$11)</f>
        <v>9.1098999999999997</v>
      </c>
      <c r="C406" s="8">
        <f>CHOOSE( CONTROL!$C$29, 9.1204, 9.1161) * CHOOSE(CONTROL!$C$12, $D$11, 100%, $F$11)</f>
        <v>9.1204000000000001</v>
      </c>
      <c r="D406" s="8">
        <f>CHOOSE( CONTROL!$C$29, 9.0927, 9.0884) * CHOOSE( CONTROL!$C$12, $D$11, 100%, $F$11)</f>
        <v>9.0927000000000007</v>
      </c>
      <c r="E406" s="12">
        <f>CHOOSE( CONTROL!$C$29, 9.1011, 9.0969) * CHOOSE( CONTROL!$C$12, $D$11, 100%, $F$11)</f>
        <v>9.1011000000000006</v>
      </c>
      <c r="F406" s="4">
        <f>CHOOSE( CONTROL!$C$29, 10.0744, 10.0701) * CHOOSE(CONTROL!$C$12, $D$11, 100%, $F$11)</f>
        <v>10.074400000000001</v>
      </c>
      <c r="G406" s="8">
        <f>CHOOSE( CONTROL!$C$29, 8.8548, 8.8507) * CHOOSE( CONTROL!$C$12, $D$11, 100%, $F$11)</f>
        <v>8.8547999999999991</v>
      </c>
      <c r="H406" s="4">
        <f>CHOOSE( CONTROL!$C$29, 9.744, 9.7398) * CHOOSE(CONTROL!$C$12, $D$11, 100%, $F$11)</f>
        <v>9.7439999999999998</v>
      </c>
      <c r="I406" s="8">
        <f>CHOOSE( CONTROL!$C$29, 8.7576, 8.7535) * CHOOSE(CONTROL!$C$12, $D$11, 100%, $F$11)</f>
        <v>8.7576000000000001</v>
      </c>
      <c r="J406" s="4">
        <f>CHOOSE( CONTROL!$C$29, 8.7244, 8.7203) * CHOOSE(CONTROL!$C$12, $D$11, 100%, $F$11)</f>
        <v>8.7243999999999993</v>
      </c>
      <c r="K406" s="4"/>
      <c r="L406" s="9">
        <v>28.568200000000001</v>
      </c>
      <c r="M406" s="9">
        <v>11.6745</v>
      </c>
      <c r="N406" s="9">
        <v>4.7850000000000001</v>
      </c>
      <c r="O406" s="9">
        <v>0.36249999999999999</v>
      </c>
      <c r="P406" s="9">
        <v>1.1798</v>
      </c>
      <c r="Q406" s="9">
        <v>19.549800000000001</v>
      </c>
      <c r="R406" s="9"/>
      <c r="S406" s="11"/>
    </row>
    <row r="407" spans="1:19" ht="15.75">
      <c r="A407" s="13">
        <v>54270</v>
      </c>
      <c r="B407" s="8">
        <f>CHOOSE( CONTROL!$C$29, 9.5015, 9.4973) * CHOOSE(CONTROL!$C$12, $D$11, 100%, $F$11)</f>
        <v>9.5015000000000001</v>
      </c>
      <c r="C407" s="8">
        <f>CHOOSE( CONTROL!$C$29, 9.512, 9.5077) * CHOOSE(CONTROL!$C$12, $D$11, 100%, $F$11)</f>
        <v>9.5120000000000005</v>
      </c>
      <c r="D407" s="8">
        <f>CHOOSE( CONTROL!$C$29, 9.5181, 9.5138) * CHOOSE( CONTROL!$C$12, $D$11, 100%, $F$11)</f>
        <v>9.5181000000000004</v>
      </c>
      <c r="E407" s="12">
        <f>CHOOSE( CONTROL!$C$29, 9.5143, 9.51) * CHOOSE( CONTROL!$C$12, $D$11, 100%, $F$11)</f>
        <v>9.5143000000000004</v>
      </c>
      <c r="F407" s="4">
        <f>CHOOSE( CONTROL!$C$29, 10.5114, 10.5071) * CHOOSE(CONTROL!$C$12, $D$11, 100%, $F$11)</f>
        <v>10.5114</v>
      </c>
      <c r="G407" s="8">
        <f>CHOOSE( CONTROL!$C$29, 9.2626, 9.2584) * CHOOSE( CONTROL!$C$12, $D$11, 100%, $F$11)</f>
        <v>9.2626000000000008</v>
      </c>
      <c r="H407" s="4">
        <f>CHOOSE( CONTROL!$C$29, 10.17, 10.1658) * CHOOSE(CONTROL!$C$12, $D$11, 100%, $F$11)</f>
        <v>10.17</v>
      </c>
      <c r="I407" s="8">
        <f>CHOOSE( CONTROL!$C$29, 9.1883, 9.1842) * CHOOSE(CONTROL!$C$12, $D$11, 100%, $F$11)</f>
        <v>9.1882999999999999</v>
      </c>
      <c r="J407" s="4">
        <f>CHOOSE( CONTROL!$C$29, 9.0996, 9.0955) * CHOOSE(CONTROL!$C$12, $D$11, 100%, $F$11)</f>
        <v>9.0996000000000006</v>
      </c>
      <c r="K407" s="4"/>
      <c r="L407" s="9">
        <v>29.520499999999998</v>
      </c>
      <c r="M407" s="9">
        <v>12.063700000000001</v>
      </c>
      <c r="N407" s="9">
        <v>4.9444999999999997</v>
      </c>
      <c r="O407" s="9">
        <v>0.37459999999999999</v>
      </c>
      <c r="P407" s="9">
        <v>1.2192000000000001</v>
      </c>
      <c r="Q407" s="9">
        <v>20.201499999999999</v>
      </c>
      <c r="R407" s="9"/>
      <c r="S407" s="11"/>
    </row>
    <row r="408" spans="1:19" ht="15.75">
      <c r="A408" s="13">
        <v>54301</v>
      </c>
      <c r="B408" s="8">
        <f>CHOOSE( CONTROL!$C$29, 8.7688, 8.7645) * CHOOSE(CONTROL!$C$12, $D$11, 100%, $F$11)</f>
        <v>8.7688000000000006</v>
      </c>
      <c r="C408" s="8">
        <f>CHOOSE( CONTROL!$C$29, 8.7792, 8.775) * CHOOSE(CONTROL!$C$12, $D$11, 100%, $F$11)</f>
        <v>8.7791999999999994</v>
      </c>
      <c r="D408" s="8">
        <f>CHOOSE( CONTROL!$C$29, 8.8018, 8.7976) * CHOOSE( CONTROL!$C$12, $D$11, 100%, $F$11)</f>
        <v>8.8018000000000001</v>
      </c>
      <c r="E408" s="12">
        <f>CHOOSE( CONTROL!$C$29, 8.792, 8.7878) * CHOOSE( CONTROL!$C$12, $D$11, 100%, $F$11)</f>
        <v>8.7919999999999998</v>
      </c>
      <c r="F408" s="4">
        <f>CHOOSE( CONTROL!$C$29, 9.8074, 9.8031) * CHOOSE(CONTROL!$C$12, $D$11, 100%, $F$11)</f>
        <v>9.8073999999999995</v>
      </c>
      <c r="G408" s="8">
        <f>CHOOSE( CONTROL!$C$29, 8.5539, 8.5498) * CHOOSE( CONTROL!$C$12, $D$11, 100%, $F$11)</f>
        <v>8.5539000000000005</v>
      </c>
      <c r="H408" s="4">
        <f>CHOOSE( CONTROL!$C$29, 9.4837, 9.4795) * CHOOSE(CONTROL!$C$12, $D$11, 100%, $F$11)</f>
        <v>9.4837000000000007</v>
      </c>
      <c r="I408" s="8">
        <f>CHOOSE( CONTROL!$C$29, 8.4773, 8.4733) * CHOOSE(CONTROL!$C$12, $D$11, 100%, $F$11)</f>
        <v>8.4772999999999996</v>
      </c>
      <c r="J408" s="4">
        <f>CHOOSE( CONTROL!$C$29, 8.3975, 8.3934) * CHOOSE(CONTROL!$C$12, $D$11, 100%, $F$11)</f>
        <v>8.3975000000000009</v>
      </c>
      <c r="K408" s="4"/>
      <c r="L408" s="9">
        <v>29.520499999999998</v>
      </c>
      <c r="M408" s="9">
        <v>12.063700000000001</v>
      </c>
      <c r="N408" s="9">
        <v>4.9444999999999997</v>
      </c>
      <c r="O408" s="9">
        <v>0.37459999999999999</v>
      </c>
      <c r="P408" s="9">
        <v>1.2192000000000001</v>
      </c>
      <c r="Q408" s="9">
        <v>20.201499999999999</v>
      </c>
      <c r="R408" s="9"/>
      <c r="S408" s="11"/>
    </row>
    <row r="409" spans="1:19" ht="15.75">
      <c r="A409" s="13">
        <v>54331</v>
      </c>
      <c r="B409" s="8">
        <f>CHOOSE( CONTROL!$C$29, 8.5853, 8.5811) * CHOOSE(CONTROL!$C$12, $D$11, 100%, $F$11)</f>
        <v>8.5853000000000002</v>
      </c>
      <c r="C409" s="8">
        <f>CHOOSE( CONTROL!$C$29, 8.5957, 8.5915) * CHOOSE(CONTROL!$C$12, $D$11, 100%, $F$11)</f>
        <v>8.5957000000000008</v>
      </c>
      <c r="D409" s="8">
        <f>CHOOSE( CONTROL!$C$29, 8.6183, 8.6141) * CHOOSE( CONTROL!$C$12, $D$11, 100%, $F$11)</f>
        <v>8.6182999999999996</v>
      </c>
      <c r="E409" s="12">
        <f>CHOOSE( CONTROL!$C$29, 8.6085, 8.6043) * CHOOSE( CONTROL!$C$12, $D$11, 100%, $F$11)</f>
        <v>8.6084999999999994</v>
      </c>
      <c r="F409" s="4">
        <f>CHOOSE( CONTROL!$C$29, 9.6239, 9.6196) * CHOOSE(CONTROL!$C$12, $D$11, 100%, $F$11)</f>
        <v>9.6239000000000008</v>
      </c>
      <c r="G409" s="8">
        <f>CHOOSE( CONTROL!$C$29, 8.3747, 8.3706) * CHOOSE( CONTROL!$C$12, $D$11, 100%, $F$11)</f>
        <v>8.3747000000000007</v>
      </c>
      <c r="H409" s="4">
        <f>CHOOSE( CONTROL!$C$29, 9.3048, 9.3007) * CHOOSE(CONTROL!$C$12, $D$11, 100%, $F$11)</f>
        <v>9.3048000000000002</v>
      </c>
      <c r="I409" s="8">
        <f>CHOOSE( CONTROL!$C$29, 8.2997, 8.2956) * CHOOSE(CONTROL!$C$12, $D$11, 100%, $F$11)</f>
        <v>8.2996999999999996</v>
      </c>
      <c r="J409" s="4">
        <f>CHOOSE( CONTROL!$C$29, 8.2217, 8.2176) * CHOOSE(CONTROL!$C$12, $D$11, 100%, $F$11)</f>
        <v>8.2217000000000002</v>
      </c>
      <c r="K409" s="4"/>
      <c r="L409" s="9">
        <v>28.568200000000001</v>
      </c>
      <c r="M409" s="9">
        <v>11.6745</v>
      </c>
      <c r="N409" s="9">
        <v>4.7850000000000001</v>
      </c>
      <c r="O409" s="9">
        <v>0.36249999999999999</v>
      </c>
      <c r="P409" s="9">
        <v>1.1798</v>
      </c>
      <c r="Q409" s="9">
        <v>19.549800000000001</v>
      </c>
      <c r="R409" s="9"/>
      <c r="S409" s="11"/>
    </row>
    <row r="410" spans="1:19" ht="15.75">
      <c r="A410" s="13">
        <v>54362</v>
      </c>
      <c r="B410" s="8">
        <f>8.962 * CHOOSE(CONTROL!$C$12, $D$11, 100%, $F$11)</f>
        <v>8.9619999999999997</v>
      </c>
      <c r="C410" s="8">
        <f>8.9725 * CHOOSE(CONTROL!$C$12, $D$11, 100%, $F$11)</f>
        <v>8.9725000000000001</v>
      </c>
      <c r="D410" s="8">
        <f>8.9769 * CHOOSE( CONTROL!$C$12, $D$11, 100%, $F$11)</f>
        <v>8.9769000000000005</v>
      </c>
      <c r="E410" s="12">
        <f>8.9743 * CHOOSE( CONTROL!$C$12, $D$11, 100%, $F$11)</f>
        <v>8.9742999999999995</v>
      </c>
      <c r="F410" s="4">
        <f>9.9693 * CHOOSE(CONTROL!$C$12, $D$11, 100%, $F$11)</f>
        <v>9.9693000000000005</v>
      </c>
      <c r="G410" s="8">
        <f>8.7323 * CHOOSE( CONTROL!$C$12, $D$11, 100%, $F$11)</f>
        <v>8.7323000000000004</v>
      </c>
      <c r="H410" s="4">
        <f>9.6415 * CHOOSE(CONTROL!$C$12, $D$11, 100%, $F$11)</f>
        <v>9.6415000000000006</v>
      </c>
      <c r="I410" s="8">
        <f>8.6575 * CHOOSE(CONTROL!$C$12, $D$11, 100%, $F$11)</f>
        <v>8.6575000000000006</v>
      </c>
      <c r="J410" s="4">
        <f>8.5827 * CHOOSE(CONTROL!$C$12, $D$11, 100%, $F$11)</f>
        <v>8.5827000000000009</v>
      </c>
      <c r="K410" s="4"/>
      <c r="L410" s="9">
        <v>28.921800000000001</v>
      </c>
      <c r="M410" s="9">
        <v>12.063700000000001</v>
      </c>
      <c r="N410" s="9">
        <v>4.9444999999999997</v>
      </c>
      <c r="O410" s="9">
        <v>0.37459999999999999</v>
      </c>
      <c r="P410" s="9">
        <v>1.2192000000000001</v>
      </c>
      <c r="Q410" s="9">
        <v>20.201499999999999</v>
      </c>
      <c r="R410" s="9"/>
      <c r="S410" s="11"/>
    </row>
    <row r="411" spans="1:19" ht="15.75">
      <c r="A411" s="13">
        <v>54392</v>
      </c>
      <c r="B411" s="8">
        <f>9.6653 * CHOOSE(CONTROL!$C$12, $D$11, 100%, $F$11)</f>
        <v>9.6653000000000002</v>
      </c>
      <c r="C411" s="8">
        <f>9.6757 * CHOOSE(CONTROL!$C$12, $D$11, 100%, $F$11)</f>
        <v>9.6757000000000009</v>
      </c>
      <c r="D411" s="8">
        <f>9.6581 * CHOOSE( CONTROL!$C$12, $D$11, 100%, $F$11)</f>
        <v>9.6580999999999992</v>
      </c>
      <c r="E411" s="12">
        <f>9.6634 * CHOOSE( CONTROL!$C$12, $D$11, 100%, $F$11)</f>
        <v>9.6633999999999993</v>
      </c>
      <c r="F411" s="4">
        <f>10.6595 * CHOOSE(CONTROL!$C$12, $D$11, 100%, $F$11)</f>
        <v>10.6595</v>
      </c>
      <c r="G411" s="8">
        <f>9.4302 * CHOOSE( CONTROL!$C$12, $D$11, 100%, $F$11)</f>
        <v>9.4301999999999992</v>
      </c>
      <c r="H411" s="4">
        <f>10.3143 * CHOOSE(CONTROL!$C$12, $D$11, 100%, $F$11)</f>
        <v>10.314299999999999</v>
      </c>
      <c r="I411" s="8">
        <f>9.3551 * CHOOSE(CONTROL!$C$12, $D$11, 100%, $F$11)</f>
        <v>9.3551000000000002</v>
      </c>
      <c r="J411" s="4">
        <f>9.2565 * CHOOSE(CONTROL!$C$12, $D$11, 100%, $F$11)</f>
        <v>9.2565000000000008</v>
      </c>
      <c r="K411" s="4"/>
      <c r="L411" s="9">
        <v>26.515499999999999</v>
      </c>
      <c r="M411" s="9">
        <v>11.6745</v>
      </c>
      <c r="N411" s="9">
        <v>4.7850000000000001</v>
      </c>
      <c r="O411" s="9">
        <v>0.36249999999999999</v>
      </c>
      <c r="P411" s="9">
        <v>1.2522</v>
      </c>
      <c r="Q411" s="9">
        <v>19.549800000000001</v>
      </c>
      <c r="R411" s="9"/>
      <c r="S411" s="11"/>
    </row>
    <row r="412" spans="1:19" ht="15.75">
      <c r="A412" s="13">
        <v>54423</v>
      </c>
      <c r="B412" s="8">
        <f>9.6477 * CHOOSE(CONTROL!$C$12, $D$11, 100%, $F$11)</f>
        <v>9.6477000000000004</v>
      </c>
      <c r="C412" s="8">
        <f>9.6581 * CHOOSE(CONTROL!$C$12, $D$11, 100%, $F$11)</f>
        <v>9.6580999999999992</v>
      </c>
      <c r="D412" s="8">
        <f>9.6425 * CHOOSE( CONTROL!$C$12, $D$11, 100%, $F$11)</f>
        <v>9.6425000000000001</v>
      </c>
      <c r="E412" s="12">
        <f>9.6471 * CHOOSE( CONTROL!$C$12, $D$11, 100%, $F$11)</f>
        <v>9.6471</v>
      </c>
      <c r="F412" s="4">
        <f>10.6419 * CHOOSE(CONTROL!$C$12, $D$11, 100%, $F$11)</f>
        <v>10.6419</v>
      </c>
      <c r="G412" s="8">
        <f>9.4146 * CHOOSE( CONTROL!$C$12, $D$11, 100%, $F$11)</f>
        <v>9.4146000000000001</v>
      </c>
      <c r="H412" s="4">
        <f>10.2972 * CHOOSE(CONTROL!$C$12, $D$11, 100%, $F$11)</f>
        <v>10.2972</v>
      </c>
      <c r="I412" s="8">
        <f>9.3455 * CHOOSE(CONTROL!$C$12, $D$11, 100%, $F$11)</f>
        <v>9.3454999999999995</v>
      </c>
      <c r="J412" s="4">
        <f>9.2397 * CHOOSE(CONTROL!$C$12, $D$11, 100%, $F$11)</f>
        <v>9.2396999999999991</v>
      </c>
      <c r="K412" s="4"/>
      <c r="L412" s="9">
        <v>27.3993</v>
      </c>
      <c r="M412" s="9">
        <v>12.063700000000001</v>
      </c>
      <c r="N412" s="9">
        <v>4.9444999999999997</v>
      </c>
      <c r="O412" s="9">
        <v>0.37459999999999999</v>
      </c>
      <c r="P412" s="9">
        <v>1.2939000000000001</v>
      </c>
      <c r="Q412" s="9">
        <v>20.201499999999999</v>
      </c>
      <c r="R412" s="9"/>
      <c r="S412" s="11"/>
    </row>
    <row r="413" spans="1:19" ht="15.75">
      <c r="A413" s="13">
        <v>54454</v>
      </c>
      <c r="B413" s="8">
        <f>10.0162 * CHOOSE(CONTROL!$C$12, $D$11, 100%, $F$11)</f>
        <v>10.0162</v>
      </c>
      <c r="C413" s="8">
        <f>10.0267 * CHOOSE(CONTROL!$C$12, $D$11, 100%, $F$11)</f>
        <v>10.0267</v>
      </c>
      <c r="D413" s="8">
        <f>10.0243 * CHOOSE( CONTROL!$C$12, $D$11, 100%, $F$11)</f>
        <v>10.0243</v>
      </c>
      <c r="E413" s="12">
        <f>10.0241 * CHOOSE( CONTROL!$C$12, $D$11, 100%, $F$11)</f>
        <v>10.024100000000001</v>
      </c>
      <c r="F413" s="4">
        <f>11.0391 * CHOOSE(CONTROL!$C$12, $D$11, 100%, $F$11)</f>
        <v>11.039099999999999</v>
      </c>
      <c r="G413" s="8">
        <f>9.791 * CHOOSE( CONTROL!$C$12, $D$11, 100%, $F$11)</f>
        <v>9.7910000000000004</v>
      </c>
      <c r="H413" s="4">
        <f>10.6844 * CHOOSE(CONTROL!$C$12, $D$11, 100%, $F$11)</f>
        <v>10.6844</v>
      </c>
      <c r="I413" s="8">
        <f>9.7062 * CHOOSE(CONTROL!$C$12, $D$11, 100%, $F$11)</f>
        <v>9.7062000000000008</v>
      </c>
      <c r="J413" s="4">
        <f>9.5928 * CHOOSE(CONTROL!$C$12, $D$11, 100%, $F$11)</f>
        <v>9.5928000000000004</v>
      </c>
      <c r="K413" s="4"/>
      <c r="L413" s="9">
        <v>27.3993</v>
      </c>
      <c r="M413" s="9">
        <v>12.063700000000001</v>
      </c>
      <c r="N413" s="9">
        <v>4.9444999999999997</v>
      </c>
      <c r="O413" s="9">
        <v>0.37459999999999999</v>
      </c>
      <c r="P413" s="9">
        <v>1.2939000000000001</v>
      </c>
      <c r="Q413" s="9">
        <v>20.136399999999998</v>
      </c>
      <c r="R413" s="9"/>
      <c r="S413" s="11"/>
    </row>
    <row r="414" spans="1:19" ht="15.75">
      <c r="A414" s="13">
        <v>54482</v>
      </c>
      <c r="B414" s="8">
        <f>9.369 * CHOOSE(CONTROL!$C$12, $D$11, 100%, $F$11)</f>
        <v>9.3689999999999998</v>
      </c>
      <c r="C414" s="8">
        <f>9.3795 * CHOOSE(CONTROL!$C$12, $D$11, 100%, $F$11)</f>
        <v>9.3795000000000002</v>
      </c>
      <c r="D414" s="8">
        <f>9.3794 * CHOOSE( CONTROL!$C$12, $D$11, 100%, $F$11)</f>
        <v>9.3794000000000004</v>
      </c>
      <c r="E414" s="12">
        <f>9.3783 * CHOOSE( CONTROL!$C$12, $D$11, 100%, $F$11)</f>
        <v>9.3782999999999994</v>
      </c>
      <c r="F414" s="4">
        <f>10.3841 * CHOOSE(CONTROL!$C$12, $D$11, 100%, $F$11)</f>
        <v>10.3841</v>
      </c>
      <c r="G414" s="8">
        <f>9.16 * CHOOSE( CONTROL!$C$12, $D$11, 100%, $F$11)</f>
        <v>9.16</v>
      </c>
      <c r="H414" s="4">
        <f>10.0459 * CHOOSE(CONTROL!$C$12, $D$11, 100%, $F$11)</f>
        <v>10.0459</v>
      </c>
      <c r="I414" s="8">
        <f>9.0748 * CHOOSE(CONTROL!$C$12, $D$11, 100%, $F$11)</f>
        <v>9.0747999999999998</v>
      </c>
      <c r="J414" s="4">
        <f>8.9726 * CHOOSE(CONTROL!$C$12, $D$11, 100%, $F$11)</f>
        <v>8.9725999999999999</v>
      </c>
      <c r="K414" s="4"/>
      <c r="L414" s="9">
        <v>24.747800000000002</v>
      </c>
      <c r="M414" s="9">
        <v>10.8962</v>
      </c>
      <c r="N414" s="9">
        <v>4.4660000000000002</v>
      </c>
      <c r="O414" s="9">
        <v>0.33829999999999999</v>
      </c>
      <c r="P414" s="9">
        <v>1.1687000000000001</v>
      </c>
      <c r="Q414" s="9">
        <v>18.1877</v>
      </c>
      <c r="R414" s="9"/>
      <c r="S414" s="11"/>
    </row>
    <row r="415" spans="1:19" ht="15.75">
      <c r="A415" s="13">
        <v>54513</v>
      </c>
      <c r="B415" s="8">
        <f>9.1697 * CHOOSE(CONTROL!$C$12, $D$11, 100%, $F$11)</f>
        <v>9.1697000000000006</v>
      </c>
      <c r="C415" s="8">
        <f>9.1801 * CHOOSE(CONTROL!$C$12, $D$11, 100%, $F$11)</f>
        <v>9.1800999999999995</v>
      </c>
      <c r="D415" s="8">
        <f>9.1599 * CHOOSE( CONTROL!$C$12, $D$11, 100%, $F$11)</f>
        <v>9.1599000000000004</v>
      </c>
      <c r="E415" s="12">
        <f>9.1662 * CHOOSE( CONTROL!$C$12, $D$11, 100%, $F$11)</f>
        <v>9.1661999999999999</v>
      </c>
      <c r="F415" s="4">
        <f>10.1686 * CHOOSE(CONTROL!$C$12, $D$11, 100%, $F$11)</f>
        <v>10.1686</v>
      </c>
      <c r="G415" s="8">
        <f>8.9452 * CHOOSE( CONTROL!$C$12, $D$11, 100%, $F$11)</f>
        <v>8.9451999999999998</v>
      </c>
      <c r="H415" s="4">
        <f>9.8358 * CHOOSE(CONTROL!$C$12, $D$11, 100%, $F$11)</f>
        <v>9.8358000000000008</v>
      </c>
      <c r="I415" s="8">
        <f>8.8442 * CHOOSE(CONTROL!$C$12, $D$11, 100%, $F$11)</f>
        <v>8.8442000000000007</v>
      </c>
      <c r="J415" s="4">
        <f>8.7816 * CHOOSE(CONTROL!$C$12, $D$11, 100%, $F$11)</f>
        <v>8.7815999999999992</v>
      </c>
      <c r="K415" s="4"/>
      <c r="L415" s="9">
        <v>27.3993</v>
      </c>
      <c r="M415" s="9">
        <v>12.063700000000001</v>
      </c>
      <c r="N415" s="9">
        <v>4.9444999999999997</v>
      </c>
      <c r="O415" s="9">
        <v>0.37459999999999999</v>
      </c>
      <c r="P415" s="9">
        <v>1.2939000000000001</v>
      </c>
      <c r="Q415" s="9">
        <v>20.136399999999998</v>
      </c>
      <c r="R415" s="9"/>
      <c r="S415" s="11"/>
    </row>
    <row r="416" spans="1:19" ht="15.75">
      <c r="A416" s="13">
        <v>54543</v>
      </c>
      <c r="B416" s="8">
        <f>9.309 * CHOOSE(CONTROL!$C$12, $D$11, 100%, $F$11)</f>
        <v>9.3089999999999993</v>
      </c>
      <c r="C416" s="8">
        <f>9.3194 * CHOOSE(CONTROL!$C$12, $D$11, 100%, $F$11)</f>
        <v>9.3193999999999999</v>
      </c>
      <c r="D416" s="8">
        <f>9.3226 * CHOOSE( CONTROL!$C$12, $D$11, 100%, $F$11)</f>
        <v>9.3225999999999996</v>
      </c>
      <c r="E416" s="12">
        <f>9.3204 * CHOOSE( CONTROL!$C$12, $D$11, 100%, $F$11)</f>
        <v>9.3203999999999994</v>
      </c>
      <c r="F416" s="4">
        <f>10.3162 * CHOOSE(CONTROL!$C$12, $D$11, 100%, $F$11)</f>
        <v>10.3162</v>
      </c>
      <c r="G416" s="8">
        <f>9.0688 * CHOOSE( CONTROL!$C$12, $D$11, 100%, $F$11)</f>
        <v>9.0687999999999995</v>
      </c>
      <c r="H416" s="4">
        <f>9.9797 * CHOOSE(CONTROL!$C$12, $D$11, 100%, $F$11)</f>
        <v>9.9796999999999993</v>
      </c>
      <c r="I416" s="8">
        <f>8.9678 * CHOOSE(CONTROL!$C$12, $D$11, 100%, $F$11)</f>
        <v>8.9678000000000004</v>
      </c>
      <c r="J416" s="4">
        <f>8.9151 * CHOOSE(CONTROL!$C$12, $D$11, 100%, $F$11)</f>
        <v>8.9151000000000007</v>
      </c>
      <c r="K416" s="4"/>
      <c r="L416" s="9">
        <v>27.988800000000001</v>
      </c>
      <c r="M416" s="9">
        <v>11.6745</v>
      </c>
      <c r="N416" s="9">
        <v>4.7850000000000001</v>
      </c>
      <c r="O416" s="9">
        <v>0.36249999999999999</v>
      </c>
      <c r="P416" s="9">
        <v>1.1798</v>
      </c>
      <c r="Q416" s="9">
        <v>19.486799999999999</v>
      </c>
      <c r="R416" s="9"/>
      <c r="S416" s="11"/>
    </row>
    <row r="417" spans="1:19" ht="15.75">
      <c r="A417" s="13">
        <v>54574</v>
      </c>
      <c r="B417" s="8">
        <f>CHOOSE( CONTROL!$C$29, 9.5611, 9.5569) * CHOOSE(CONTROL!$C$12, $D$11, 100%, $F$11)</f>
        <v>9.5610999999999997</v>
      </c>
      <c r="C417" s="8">
        <f>CHOOSE( CONTROL!$C$29, 9.5716, 9.5673) * CHOOSE(CONTROL!$C$12, $D$11, 100%, $F$11)</f>
        <v>9.5716000000000001</v>
      </c>
      <c r="D417" s="8">
        <f>CHOOSE( CONTROL!$C$29, 9.5495, 9.5452) * CHOOSE( CONTROL!$C$12, $D$11, 100%, $F$11)</f>
        <v>9.5495000000000001</v>
      </c>
      <c r="E417" s="12">
        <f>CHOOSE( CONTROL!$C$29, 9.5559, 9.5516) * CHOOSE( CONTROL!$C$12, $D$11, 100%, $F$11)</f>
        <v>9.5558999999999994</v>
      </c>
      <c r="F417" s="4">
        <f>CHOOSE( CONTROL!$C$29, 10.536, 10.5318) * CHOOSE(CONTROL!$C$12, $D$11, 100%, $F$11)</f>
        <v>10.536</v>
      </c>
      <c r="G417" s="8">
        <f>CHOOSE( CONTROL!$C$29, 9.2959, 9.2917) * CHOOSE( CONTROL!$C$12, $D$11, 100%, $F$11)</f>
        <v>9.2958999999999996</v>
      </c>
      <c r="H417" s="4">
        <f>CHOOSE( CONTROL!$C$29, 10.194, 10.1898) * CHOOSE(CONTROL!$C$12, $D$11, 100%, $F$11)</f>
        <v>10.194000000000001</v>
      </c>
      <c r="I417" s="8">
        <f>CHOOSE( CONTROL!$C$29, 9.188, 9.1839) * CHOOSE(CONTROL!$C$12, $D$11, 100%, $F$11)</f>
        <v>9.1880000000000006</v>
      </c>
      <c r="J417" s="4">
        <f>CHOOSE( CONTROL!$C$29, 9.1567, 9.1526) * CHOOSE(CONTROL!$C$12, $D$11, 100%, $F$11)</f>
        <v>9.1567000000000007</v>
      </c>
      <c r="K417" s="4"/>
      <c r="L417" s="9">
        <v>29.520499999999998</v>
      </c>
      <c r="M417" s="9">
        <v>12.063700000000001</v>
      </c>
      <c r="N417" s="9">
        <v>4.9444999999999997</v>
      </c>
      <c r="O417" s="9">
        <v>0.37459999999999999</v>
      </c>
      <c r="P417" s="9">
        <v>1.2192000000000001</v>
      </c>
      <c r="Q417" s="9">
        <v>20.136399999999998</v>
      </c>
      <c r="R417" s="9"/>
      <c r="S417" s="11"/>
    </row>
    <row r="418" spans="1:19" ht="15.75">
      <c r="A418" s="13">
        <v>54604</v>
      </c>
      <c r="B418" s="8">
        <f>CHOOSE( CONTROL!$C$29, 9.4076, 9.4033) * CHOOSE(CONTROL!$C$12, $D$11, 100%, $F$11)</f>
        <v>9.4076000000000004</v>
      </c>
      <c r="C418" s="8">
        <f>CHOOSE( CONTROL!$C$29, 9.418, 9.4137) * CHOOSE(CONTROL!$C$12, $D$11, 100%, $F$11)</f>
        <v>9.4179999999999993</v>
      </c>
      <c r="D418" s="8">
        <f>CHOOSE( CONTROL!$C$29, 9.3903, 9.3861) * CHOOSE( CONTROL!$C$12, $D$11, 100%, $F$11)</f>
        <v>9.3902999999999999</v>
      </c>
      <c r="E418" s="12">
        <f>CHOOSE( CONTROL!$C$29, 9.3988, 9.3945) * CHOOSE( CONTROL!$C$12, $D$11, 100%, $F$11)</f>
        <v>9.3987999999999996</v>
      </c>
      <c r="F418" s="4">
        <f>CHOOSE( CONTROL!$C$29, 10.372, 10.3678) * CHOOSE(CONTROL!$C$12, $D$11, 100%, $F$11)</f>
        <v>10.372</v>
      </c>
      <c r="G418" s="8">
        <f>CHOOSE( CONTROL!$C$29, 9.1449, 9.1408) * CHOOSE( CONTROL!$C$12, $D$11, 100%, $F$11)</f>
        <v>9.1448999999999998</v>
      </c>
      <c r="H418" s="4">
        <f>CHOOSE( CONTROL!$C$29, 10.0341, 10.03) * CHOOSE(CONTROL!$C$12, $D$11, 100%, $F$11)</f>
        <v>10.0341</v>
      </c>
      <c r="I418" s="8">
        <f>CHOOSE( CONTROL!$C$29, 9.0429, 9.0389) * CHOOSE(CONTROL!$C$12, $D$11, 100%, $F$11)</f>
        <v>9.0428999999999995</v>
      </c>
      <c r="J418" s="4">
        <f>CHOOSE( CONTROL!$C$29, 9.0096, 9.0055) * CHOOSE(CONTROL!$C$12, $D$11, 100%, $F$11)</f>
        <v>9.0096000000000007</v>
      </c>
      <c r="K418" s="4"/>
      <c r="L418" s="9">
        <v>28.568200000000001</v>
      </c>
      <c r="M418" s="9">
        <v>11.6745</v>
      </c>
      <c r="N418" s="9">
        <v>4.7850000000000001</v>
      </c>
      <c r="O418" s="9">
        <v>0.36249999999999999</v>
      </c>
      <c r="P418" s="9">
        <v>1.1798</v>
      </c>
      <c r="Q418" s="9">
        <v>19.486799999999999</v>
      </c>
      <c r="R418" s="9"/>
      <c r="S418" s="11"/>
    </row>
    <row r="419" spans="1:19" ht="15.75">
      <c r="A419" s="13">
        <v>54635</v>
      </c>
      <c r="B419" s="8">
        <f>CHOOSE( CONTROL!$C$29, 9.812, 9.8077) * CHOOSE(CONTROL!$C$12, $D$11, 100%, $F$11)</f>
        <v>9.8119999999999994</v>
      </c>
      <c r="C419" s="8">
        <f>CHOOSE( CONTROL!$C$29, 9.8224, 9.8182) * CHOOSE(CONTROL!$C$12, $D$11, 100%, $F$11)</f>
        <v>9.8224</v>
      </c>
      <c r="D419" s="8">
        <f>CHOOSE( CONTROL!$C$29, 9.8285, 9.8243) * CHOOSE( CONTROL!$C$12, $D$11, 100%, $F$11)</f>
        <v>9.8285</v>
      </c>
      <c r="E419" s="12">
        <f>CHOOSE( CONTROL!$C$29, 9.8247, 9.8205) * CHOOSE( CONTROL!$C$12, $D$11, 100%, $F$11)</f>
        <v>9.8247</v>
      </c>
      <c r="F419" s="4">
        <f>CHOOSE( CONTROL!$C$29, 10.8218, 10.8176) * CHOOSE(CONTROL!$C$12, $D$11, 100%, $F$11)</f>
        <v>10.8218</v>
      </c>
      <c r="G419" s="8">
        <f>CHOOSE( CONTROL!$C$29, 9.5652, 9.561) * CHOOSE( CONTROL!$C$12, $D$11, 100%, $F$11)</f>
        <v>9.5652000000000008</v>
      </c>
      <c r="H419" s="4">
        <f>CHOOSE( CONTROL!$C$29, 10.4726, 10.4684) * CHOOSE(CONTROL!$C$12, $D$11, 100%, $F$11)</f>
        <v>10.4726</v>
      </c>
      <c r="I419" s="8">
        <f>CHOOSE( CONTROL!$C$29, 9.4859, 9.4819) * CHOOSE(CONTROL!$C$12, $D$11, 100%, $F$11)</f>
        <v>9.4859000000000009</v>
      </c>
      <c r="J419" s="4">
        <f>CHOOSE( CONTROL!$C$29, 9.3971, 9.393) * CHOOSE(CONTROL!$C$12, $D$11, 100%, $F$11)</f>
        <v>9.3971</v>
      </c>
      <c r="K419" s="4"/>
      <c r="L419" s="9">
        <v>29.520499999999998</v>
      </c>
      <c r="M419" s="9">
        <v>12.063700000000001</v>
      </c>
      <c r="N419" s="9">
        <v>4.9444999999999997</v>
      </c>
      <c r="O419" s="9">
        <v>0.37459999999999999</v>
      </c>
      <c r="P419" s="9">
        <v>1.2192000000000001</v>
      </c>
      <c r="Q419" s="9">
        <v>20.136399999999998</v>
      </c>
      <c r="R419" s="9"/>
      <c r="S419" s="11"/>
    </row>
    <row r="420" spans="1:19" ht="15.75">
      <c r="A420" s="13">
        <v>54666</v>
      </c>
      <c r="B420" s="8">
        <f>CHOOSE( CONTROL!$C$29, 9.0553, 9.051) * CHOOSE(CONTROL!$C$12, $D$11, 100%, $F$11)</f>
        <v>9.0553000000000008</v>
      </c>
      <c r="C420" s="8">
        <f>CHOOSE( CONTROL!$C$29, 9.0657, 9.0615) * CHOOSE(CONTROL!$C$12, $D$11, 100%, $F$11)</f>
        <v>9.0656999999999996</v>
      </c>
      <c r="D420" s="8">
        <f>CHOOSE( CONTROL!$C$29, 9.0883, 9.0841) * CHOOSE( CONTROL!$C$12, $D$11, 100%, $F$11)</f>
        <v>9.0883000000000003</v>
      </c>
      <c r="E420" s="12">
        <f>CHOOSE( CONTROL!$C$29, 9.0785, 9.0743) * CHOOSE( CONTROL!$C$12, $D$11, 100%, $F$11)</f>
        <v>9.0785</v>
      </c>
      <c r="F420" s="4">
        <f>CHOOSE( CONTROL!$C$29, 10.0938, 10.0896) * CHOOSE(CONTROL!$C$12, $D$11, 100%, $F$11)</f>
        <v>10.0938</v>
      </c>
      <c r="G420" s="8">
        <f>CHOOSE( CONTROL!$C$29, 8.8332, 8.829) * CHOOSE( CONTROL!$C$12, $D$11, 100%, $F$11)</f>
        <v>8.8331999999999997</v>
      </c>
      <c r="H420" s="4">
        <f>CHOOSE( CONTROL!$C$29, 9.7629, 9.7588) * CHOOSE(CONTROL!$C$12, $D$11, 100%, $F$11)</f>
        <v>9.7629000000000001</v>
      </c>
      <c r="I420" s="8">
        <f>CHOOSE( CONTROL!$C$29, 8.752, 8.7479) * CHOOSE(CONTROL!$C$12, $D$11, 100%, $F$11)</f>
        <v>8.7520000000000007</v>
      </c>
      <c r="J420" s="4">
        <f>CHOOSE( CONTROL!$C$29, 8.672, 8.6679) * CHOOSE(CONTROL!$C$12, $D$11, 100%, $F$11)</f>
        <v>8.6720000000000006</v>
      </c>
      <c r="K420" s="4"/>
      <c r="L420" s="9">
        <v>29.520499999999998</v>
      </c>
      <c r="M420" s="9">
        <v>12.063700000000001</v>
      </c>
      <c r="N420" s="9">
        <v>4.9444999999999997</v>
      </c>
      <c r="O420" s="9">
        <v>0.37459999999999999</v>
      </c>
      <c r="P420" s="9">
        <v>1.2192000000000001</v>
      </c>
      <c r="Q420" s="9">
        <v>20.136399999999998</v>
      </c>
      <c r="R420" s="9"/>
      <c r="S420" s="11"/>
    </row>
    <row r="421" spans="1:19" ht="15.75">
      <c r="A421" s="13">
        <v>54696</v>
      </c>
      <c r="B421" s="8">
        <f>CHOOSE( CONTROL!$C$29, 8.8658, 8.8615) * CHOOSE(CONTROL!$C$12, $D$11, 100%, $F$11)</f>
        <v>8.8658000000000001</v>
      </c>
      <c r="C421" s="8">
        <f>CHOOSE( CONTROL!$C$29, 8.8762, 8.872) * CHOOSE(CONTROL!$C$12, $D$11, 100%, $F$11)</f>
        <v>8.8762000000000008</v>
      </c>
      <c r="D421" s="8">
        <f>CHOOSE( CONTROL!$C$29, 8.8988, 8.8945) * CHOOSE( CONTROL!$C$12, $D$11, 100%, $F$11)</f>
        <v>8.8987999999999996</v>
      </c>
      <c r="E421" s="12">
        <f>CHOOSE( CONTROL!$C$29, 8.889, 8.8847) * CHOOSE( CONTROL!$C$12, $D$11, 100%, $F$11)</f>
        <v>8.8889999999999993</v>
      </c>
      <c r="F421" s="4">
        <f>CHOOSE( CONTROL!$C$29, 9.9043, 9.9001) * CHOOSE(CONTROL!$C$12, $D$11, 100%, $F$11)</f>
        <v>9.9042999999999992</v>
      </c>
      <c r="G421" s="8">
        <f>CHOOSE( CONTROL!$C$29, 8.6481, 8.644) * CHOOSE( CONTROL!$C$12, $D$11, 100%, $F$11)</f>
        <v>8.6480999999999995</v>
      </c>
      <c r="H421" s="4">
        <f>CHOOSE( CONTROL!$C$29, 9.5782, 9.5741) * CHOOSE(CONTROL!$C$12, $D$11, 100%, $F$11)</f>
        <v>9.5782000000000007</v>
      </c>
      <c r="I421" s="8">
        <f>CHOOSE( CONTROL!$C$29, 8.5686, 8.5645) * CHOOSE(CONTROL!$C$12, $D$11, 100%, $F$11)</f>
        <v>8.5686</v>
      </c>
      <c r="J421" s="4">
        <f>CHOOSE( CONTROL!$C$29, 8.4904, 8.4864) * CHOOSE(CONTROL!$C$12, $D$11, 100%, $F$11)</f>
        <v>8.4903999999999993</v>
      </c>
      <c r="K421" s="4"/>
      <c r="L421" s="9">
        <v>28.568200000000001</v>
      </c>
      <c r="M421" s="9">
        <v>11.6745</v>
      </c>
      <c r="N421" s="9">
        <v>4.7850000000000001</v>
      </c>
      <c r="O421" s="9">
        <v>0.36249999999999999</v>
      </c>
      <c r="P421" s="9">
        <v>1.1798</v>
      </c>
      <c r="Q421" s="9">
        <v>19.486799999999999</v>
      </c>
      <c r="R421" s="9"/>
      <c r="S421" s="11"/>
    </row>
    <row r="422" spans="1:19" ht="15.75">
      <c r="A422" s="13">
        <v>54727</v>
      </c>
      <c r="B422" s="8">
        <f>9.255 * CHOOSE(CONTROL!$C$12, $D$11, 100%, $F$11)</f>
        <v>9.2550000000000008</v>
      </c>
      <c r="C422" s="8">
        <f>9.2654 * CHOOSE(CONTROL!$C$12, $D$11, 100%, $F$11)</f>
        <v>9.2653999999999996</v>
      </c>
      <c r="D422" s="8">
        <f>9.2698 * CHOOSE( CONTROL!$C$12, $D$11, 100%, $F$11)</f>
        <v>9.2698</v>
      </c>
      <c r="E422" s="12">
        <f>9.2672 * CHOOSE( CONTROL!$C$12, $D$11, 100%, $F$11)</f>
        <v>9.2672000000000008</v>
      </c>
      <c r="F422" s="4">
        <f>10.2622 * CHOOSE(CONTROL!$C$12, $D$11, 100%, $F$11)</f>
        <v>10.2622</v>
      </c>
      <c r="G422" s="8">
        <f>9.0178 * CHOOSE( CONTROL!$C$12, $D$11, 100%, $F$11)</f>
        <v>9.0177999999999994</v>
      </c>
      <c r="H422" s="4">
        <f>9.9271 * CHOOSE(CONTROL!$C$12, $D$11, 100%, $F$11)</f>
        <v>9.9270999999999994</v>
      </c>
      <c r="I422" s="8">
        <f>8.9383 * CHOOSE(CONTROL!$C$12, $D$11, 100%, $F$11)</f>
        <v>8.9382999999999999</v>
      </c>
      <c r="J422" s="4">
        <f>8.8634 * CHOOSE(CONTROL!$C$12, $D$11, 100%, $F$11)</f>
        <v>8.8634000000000004</v>
      </c>
      <c r="K422" s="4"/>
      <c r="L422" s="9">
        <v>28.921800000000001</v>
      </c>
      <c r="M422" s="9">
        <v>12.063700000000001</v>
      </c>
      <c r="N422" s="9">
        <v>4.9444999999999997</v>
      </c>
      <c r="O422" s="9">
        <v>0.37459999999999999</v>
      </c>
      <c r="P422" s="9">
        <v>1.2192000000000001</v>
      </c>
      <c r="Q422" s="9">
        <v>20.136399999999998</v>
      </c>
      <c r="R422" s="9"/>
      <c r="S422" s="11"/>
    </row>
    <row r="423" spans="1:19" ht="15.75">
      <c r="A423" s="13">
        <v>54757</v>
      </c>
      <c r="B423" s="8">
        <f>9.9812 * CHOOSE(CONTROL!$C$12, $D$11, 100%, $F$11)</f>
        <v>9.9811999999999994</v>
      </c>
      <c r="C423" s="8">
        <f>9.9916 * CHOOSE(CONTROL!$C$12, $D$11, 100%, $F$11)</f>
        <v>9.9916</v>
      </c>
      <c r="D423" s="8">
        <f>9.974 * CHOOSE( CONTROL!$C$12, $D$11, 100%, $F$11)</f>
        <v>9.9740000000000002</v>
      </c>
      <c r="E423" s="12">
        <f>9.9793 * CHOOSE( CONTROL!$C$12, $D$11, 100%, $F$11)</f>
        <v>9.9793000000000003</v>
      </c>
      <c r="F423" s="4">
        <f>10.9754 * CHOOSE(CONTROL!$C$12, $D$11, 100%, $F$11)</f>
        <v>10.9754</v>
      </c>
      <c r="G423" s="8">
        <f>9.7382 * CHOOSE( CONTROL!$C$12, $D$11, 100%, $F$11)</f>
        <v>9.7382000000000009</v>
      </c>
      <c r="H423" s="4">
        <f>10.6223 * CHOOSE(CONTROL!$C$12, $D$11, 100%, $F$11)</f>
        <v>10.622299999999999</v>
      </c>
      <c r="I423" s="8">
        <f>9.658 * CHOOSE(CONTROL!$C$12, $D$11, 100%, $F$11)</f>
        <v>9.6579999999999995</v>
      </c>
      <c r="J423" s="4">
        <f>9.5592 * CHOOSE(CONTROL!$C$12, $D$11, 100%, $F$11)</f>
        <v>9.5592000000000006</v>
      </c>
      <c r="K423" s="4"/>
      <c r="L423" s="9">
        <v>26.515499999999999</v>
      </c>
      <c r="M423" s="9">
        <v>11.6745</v>
      </c>
      <c r="N423" s="9">
        <v>4.7850000000000001</v>
      </c>
      <c r="O423" s="9">
        <v>0.36249999999999999</v>
      </c>
      <c r="P423" s="9">
        <v>1.2522</v>
      </c>
      <c r="Q423" s="9">
        <v>19.486799999999999</v>
      </c>
      <c r="R423" s="9"/>
      <c r="S423" s="11"/>
    </row>
    <row r="424" spans="1:19" ht="15.75">
      <c r="A424" s="13">
        <v>54788</v>
      </c>
      <c r="B424" s="8">
        <f>9.963 * CHOOSE(CONTROL!$C$12, $D$11, 100%, $F$11)</f>
        <v>9.9629999999999992</v>
      </c>
      <c r="C424" s="8">
        <f>9.9735 * CHOOSE(CONTROL!$C$12, $D$11, 100%, $F$11)</f>
        <v>9.9734999999999996</v>
      </c>
      <c r="D424" s="8">
        <f>9.9579 * CHOOSE( CONTROL!$C$12, $D$11, 100%, $F$11)</f>
        <v>9.9579000000000004</v>
      </c>
      <c r="E424" s="12">
        <f>9.9625 * CHOOSE( CONTROL!$C$12, $D$11, 100%, $F$11)</f>
        <v>9.9625000000000004</v>
      </c>
      <c r="F424" s="4">
        <f>10.9572 * CHOOSE(CONTROL!$C$12, $D$11, 100%, $F$11)</f>
        <v>10.9572</v>
      </c>
      <c r="G424" s="8">
        <f>9.722 * CHOOSE( CONTROL!$C$12, $D$11, 100%, $F$11)</f>
        <v>9.7219999999999995</v>
      </c>
      <c r="H424" s="4">
        <f>10.6046 * CHOOSE(CONTROL!$C$12, $D$11, 100%, $F$11)</f>
        <v>10.6046</v>
      </c>
      <c r="I424" s="8">
        <f>9.6478 * CHOOSE(CONTROL!$C$12, $D$11, 100%, $F$11)</f>
        <v>9.6478000000000002</v>
      </c>
      <c r="J424" s="4">
        <f>9.5418 * CHOOSE(CONTROL!$C$12, $D$11, 100%, $F$11)</f>
        <v>9.5418000000000003</v>
      </c>
      <c r="K424" s="4"/>
      <c r="L424" s="9">
        <v>27.3993</v>
      </c>
      <c r="M424" s="9">
        <v>12.063700000000001</v>
      </c>
      <c r="N424" s="9">
        <v>4.9444999999999997</v>
      </c>
      <c r="O424" s="9">
        <v>0.37459999999999999</v>
      </c>
      <c r="P424" s="9">
        <v>1.2939000000000001</v>
      </c>
      <c r="Q424" s="9">
        <v>20.136399999999998</v>
      </c>
      <c r="R424" s="9"/>
      <c r="S424" s="11"/>
    </row>
    <row r="425" spans="1:19" ht="15.75">
      <c r="A425" s="13">
        <v>54819</v>
      </c>
      <c r="B425" s="8">
        <f>10.3436 * CHOOSE(CONTROL!$C$12, $D$11, 100%, $F$11)</f>
        <v>10.3436</v>
      </c>
      <c r="C425" s="8">
        <f>10.3541 * CHOOSE(CONTROL!$C$12, $D$11, 100%, $F$11)</f>
        <v>10.354100000000001</v>
      </c>
      <c r="D425" s="8">
        <f>10.3517 * CHOOSE( CONTROL!$C$12, $D$11, 100%, $F$11)</f>
        <v>10.351699999999999</v>
      </c>
      <c r="E425" s="12">
        <f>10.3515 * CHOOSE( CONTROL!$C$12, $D$11, 100%, $F$11)</f>
        <v>10.3515</v>
      </c>
      <c r="F425" s="4">
        <f>11.3665 * CHOOSE(CONTROL!$C$12, $D$11, 100%, $F$11)</f>
        <v>11.3665</v>
      </c>
      <c r="G425" s="8">
        <f>10.1102 * CHOOSE( CONTROL!$C$12, $D$11, 100%, $F$11)</f>
        <v>10.110200000000001</v>
      </c>
      <c r="H425" s="4">
        <f>11.0035 * CHOOSE(CONTROL!$C$12, $D$11, 100%, $F$11)</f>
        <v>11.003500000000001</v>
      </c>
      <c r="I425" s="8">
        <f>10.0201 * CHOOSE(CONTROL!$C$12, $D$11, 100%, $F$11)</f>
        <v>10.020099999999999</v>
      </c>
      <c r="J425" s="4">
        <f>9.9065 * CHOOSE(CONTROL!$C$12, $D$11, 100%, $F$11)</f>
        <v>9.9064999999999994</v>
      </c>
      <c r="K425" s="4"/>
      <c r="L425" s="9">
        <v>27.3993</v>
      </c>
      <c r="M425" s="9">
        <v>12.063700000000001</v>
      </c>
      <c r="N425" s="9">
        <v>4.9444999999999997</v>
      </c>
      <c r="O425" s="9">
        <v>0.37459999999999999</v>
      </c>
      <c r="P425" s="9">
        <v>1.2939000000000001</v>
      </c>
      <c r="Q425" s="9">
        <v>20.071300000000001</v>
      </c>
      <c r="R425" s="9"/>
      <c r="S425" s="11"/>
    </row>
    <row r="426" spans="1:19" ht="15.75">
      <c r="A426" s="13">
        <v>54847</v>
      </c>
      <c r="B426" s="8">
        <f>9.6753 * CHOOSE(CONTROL!$C$12, $D$11, 100%, $F$11)</f>
        <v>9.6753</v>
      </c>
      <c r="C426" s="8">
        <f>9.6857 * CHOOSE(CONTROL!$C$12, $D$11, 100%, $F$11)</f>
        <v>9.6857000000000006</v>
      </c>
      <c r="D426" s="8">
        <f>9.6857 * CHOOSE( CONTROL!$C$12, $D$11, 100%, $F$11)</f>
        <v>9.6857000000000006</v>
      </c>
      <c r="E426" s="12">
        <f>9.6846 * CHOOSE( CONTROL!$C$12, $D$11, 100%, $F$11)</f>
        <v>9.6845999999999997</v>
      </c>
      <c r="F426" s="4">
        <f>10.6903 * CHOOSE(CONTROL!$C$12, $D$11, 100%, $F$11)</f>
        <v>10.690300000000001</v>
      </c>
      <c r="G426" s="8">
        <f>9.4585 * CHOOSE( CONTROL!$C$12, $D$11, 100%, $F$11)</f>
        <v>9.4585000000000008</v>
      </c>
      <c r="H426" s="4">
        <f>10.3444 * CHOOSE(CONTROL!$C$12, $D$11, 100%, $F$11)</f>
        <v>10.3444</v>
      </c>
      <c r="I426" s="8">
        <f>9.3684 * CHOOSE(CONTROL!$C$12, $D$11, 100%, $F$11)</f>
        <v>9.3683999999999994</v>
      </c>
      <c r="J426" s="4">
        <f>9.2661 * CHOOSE(CONTROL!$C$12, $D$11, 100%, $F$11)</f>
        <v>9.2660999999999998</v>
      </c>
      <c r="K426" s="4"/>
      <c r="L426" s="9">
        <v>24.747800000000002</v>
      </c>
      <c r="M426" s="9">
        <v>10.8962</v>
      </c>
      <c r="N426" s="9">
        <v>4.4660000000000002</v>
      </c>
      <c r="O426" s="9">
        <v>0.33829999999999999</v>
      </c>
      <c r="P426" s="9">
        <v>1.1687000000000001</v>
      </c>
      <c r="Q426" s="9">
        <v>18.128900000000002</v>
      </c>
      <c r="R426" s="9"/>
      <c r="S426" s="11"/>
    </row>
    <row r="427" spans="1:19" ht="15.75">
      <c r="A427" s="13">
        <v>54878</v>
      </c>
      <c r="B427" s="8">
        <f>9.4694 * CHOOSE(CONTROL!$C$12, $D$11, 100%, $F$11)</f>
        <v>9.4694000000000003</v>
      </c>
      <c r="C427" s="8">
        <f>9.4798 * CHOOSE(CONTROL!$C$12, $D$11, 100%, $F$11)</f>
        <v>9.4797999999999991</v>
      </c>
      <c r="D427" s="8">
        <f>9.4597 * CHOOSE( CONTROL!$C$12, $D$11, 100%, $F$11)</f>
        <v>9.4596999999999998</v>
      </c>
      <c r="E427" s="12">
        <f>9.4659 * CHOOSE( CONTROL!$C$12, $D$11, 100%, $F$11)</f>
        <v>9.4658999999999995</v>
      </c>
      <c r="F427" s="4">
        <f>10.4683 * CHOOSE(CONTROL!$C$12, $D$11, 100%, $F$11)</f>
        <v>10.468299999999999</v>
      </c>
      <c r="G427" s="8">
        <f>9.2374 * CHOOSE( CONTROL!$C$12, $D$11, 100%, $F$11)</f>
        <v>9.2373999999999992</v>
      </c>
      <c r="H427" s="4">
        <f>10.128 * CHOOSE(CONTROL!$C$12, $D$11, 100%, $F$11)</f>
        <v>10.128</v>
      </c>
      <c r="I427" s="8">
        <f>9.1315 * CHOOSE(CONTROL!$C$12, $D$11, 100%, $F$11)</f>
        <v>9.1315000000000008</v>
      </c>
      <c r="J427" s="4">
        <f>9.0688 * CHOOSE(CONTROL!$C$12, $D$11, 100%, $F$11)</f>
        <v>9.0687999999999995</v>
      </c>
      <c r="K427" s="4"/>
      <c r="L427" s="9">
        <v>27.3993</v>
      </c>
      <c r="M427" s="9">
        <v>12.063700000000001</v>
      </c>
      <c r="N427" s="9">
        <v>4.9444999999999997</v>
      </c>
      <c r="O427" s="9">
        <v>0.37459999999999999</v>
      </c>
      <c r="P427" s="9">
        <v>1.2939000000000001</v>
      </c>
      <c r="Q427" s="9">
        <v>20.071300000000001</v>
      </c>
      <c r="R427" s="9"/>
      <c r="S427" s="11"/>
    </row>
    <row r="428" spans="1:19" ht="15.75">
      <c r="A428" s="13">
        <v>54908</v>
      </c>
      <c r="B428" s="8">
        <f>9.6132 * CHOOSE(CONTROL!$C$12, $D$11, 100%, $F$11)</f>
        <v>9.6132000000000009</v>
      </c>
      <c r="C428" s="8">
        <f>9.6237 * CHOOSE(CONTROL!$C$12, $D$11, 100%, $F$11)</f>
        <v>9.6236999999999995</v>
      </c>
      <c r="D428" s="8">
        <f>9.6269 * CHOOSE( CONTROL!$C$12, $D$11, 100%, $F$11)</f>
        <v>9.6268999999999991</v>
      </c>
      <c r="E428" s="12">
        <f>9.6246 * CHOOSE( CONTROL!$C$12, $D$11, 100%, $F$11)</f>
        <v>9.6245999999999992</v>
      </c>
      <c r="F428" s="4">
        <f>10.6205 * CHOOSE(CONTROL!$C$12, $D$11, 100%, $F$11)</f>
        <v>10.6205</v>
      </c>
      <c r="G428" s="8">
        <f>9.3654 * CHOOSE( CONTROL!$C$12, $D$11, 100%, $F$11)</f>
        <v>9.3653999999999993</v>
      </c>
      <c r="H428" s="4">
        <f>10.2763 * CHOOSE(CONTROL!$C$12, $D$11, 100%, $F$11)</f>
        <v>10.276300000000001</v>
      </c>
      <c r="I428" s="8">
        <f>9.2595 * CHOOSE(CONTROL!$C$12, $D$11, 100%, $F$11)</f>
        <v>9.2594999999999992</v>
      </c>
      <c r="J428" s="4">
        <f>9.2067 * CHOOSE(CONTROL!$C$12, $D$11, 100%, $F$11)</f>
        <v>9.2066999999999997</v>
      </c>
      <c r="K428" s="4"/>
      <c r="L428" s="9">
        <v>27.988800000000001</v>
      </c>
      <c r="M428" s="9">
        <v>11.6745</v>
      </c>
      <c r="N428" s="9">
        <v>4.7850000000000001</v>
      </c>
      <c r="O428" s="9">
        <v>0.36249999999999999</v>
      </c>
      <c r="P428" s="9">
        <v>1.1798</v>
      </c>
      <c r="Q428" s="9">
        <v>19.4238</v>
      </c>
      <c r="R428" s="9"/>
      <c r="S428" s="11"/>
    </row>
    <row r="429" spans="1:19" ht="15.75">
      <c r="A429" s="13">
        <v>54939</v>
      </c>
      <c r="B429" s="8">
        <f>CHOOSE( CONTROL!$C$29, 9.8735, 9.8693) * CHOOSE(CONTROL!$C$12, $D$11, 100%, $F$11)</f>
        <v>9.8734999999999999</v>
      </c>
      <c r="C429" s="8">
        <f>CHOOSE( CONTROL!$C$29, 9.8839, 9.8797) * CHOOSE(CONTROL!$C$12, $D$11, 100%, $F$11)</f>
        <v>9.8839000000000006</v>
      </c>
      <c r="D429" s="8">
        <f>CHOOSE( CONTROL!$C$29, 9.8619, 9.8576) * CHOOSE( CONTROL!$C$12, $D$11, 100%, $F$11)</f>
        <v>9.8619000000000003</v>
      </c>
      <c r="E429" s="12">
        <f>CHOOSE( CONTROL!$C$29, 9.8683, 9.864) * CHOOSE( CONTROL!$C$12, $D$11, 100%, $F$11)</f>
        <v>9.8682999999999996</v>
      </c>
      <c r="F429" s="4">
        <f>CHOOSE( CONTROL!$C$29, 10.8484, 10.8442) * CHOOSE(CONTROL!$C$12, $D$11, 100%, $F$11)</f>
        <v>10.8484</v>
      </c>
      <c r="G429" s="8">
        <f>CHOOSE( CONTROL!$C$29, 9.6004, 9.5962) * CHOOSE( CONTROL!$C$12, $D$11, 100%, $F$11)</f>
        <v>9.6004000000000005</v>
      </c>
      <c r="H429" s="4">
        <f>CHOOSE( CONTROL!$C$29, 10.4985, 10.4943) * CHOOSE(CONTROL!$C$12, $D$11, 100%, $F$11)</f>
        <v>10.4985</v>
      </c>
      <c r="I429" s="8">
        <f>CHOOSE( CONTROL!$C$29, 9.4875, 9.4834) * CHOOSE(CONTROL!$C$12, $D$11, 100%, $F$11)</f>
        <v>9.4875000000000007</v>
      </c>
      <c r="J429" s="4">
        <f>CHOOSE( CONTROL!$C$29, 9.456, 9.452) * CHOOSE(CONTROL!$C$12, $D$11, 100%, $F$11)</f>
        <v>9.4559999999999995</v>
      </c>
      <c r="K429" s="4"/>
      <c r="L429" s="9">
        <v>29.520499999999998</v>
      </c>
      <c r="M429" s="9">
        <v>12.063700000000001</v>
      </c>
      <c r="N429" s="9">
        <v>4.9444999999999997</v>
      </c>
      <c r="O429" s="9">
        <v>0.37459999999999999</v>
      </c>
      <c r="P429" s="9">
        <v>1.2192000000000001</v>
      </c>
      <c r="Q429" s="9">
        <v>20.071300000000001</v>
      </c>
      <c r="R429" s="9"/>
      <c r="S429" s="11"/>
    </row>
    <row r="430" spans="1:19" ht="15.75">
      <c r="A430" s="13">
        <v>54969</v>
      </c>
      <c r="B430" s="8">
        <f>CHOOSE( CONTROL!$C$29, 9.7149, 9.7107) * CHOOSE(CONTROL!$C$12, $D$11, 100%, $F$11)</f>
        <v>9.7149000000000001</v>
      </c>
      <c r="C430" s="8">
        <f>CHOOSE( CONTROL!$C$29, 9.7253, 9.7211) * CHOOSE(CONTROL!$C$12, $D$11, 100%, $F$11)</f>
        <v>9.7253000000000007</v>
      </c>
      <c r="D430" s="8">
        <f>CHOOSE( CONTROL!$C$29, 9.6977, 9.6934) * CHOOSE( CONTROL!$C$12, $D$11, 100%, $F$11)</f>
        <v>9.6976999999999993</v>
      </c>
      <c r="E430" s="12">
        <f>CHOOSE( CONTROL!$C$29, 9.7061, 9.7019) * CHOOSE( CONTROL!$C$12, $D$11, 100%, $F$11)</f>
        <v>9.7060999999999993</v>
      </c>
      <c r="F430" s="4">
        <f>CHOOSE( CONTROL!$C$29, 10.6794, 10.6751) * CHOOSE(CONTROL!$C$12, $D$11, 100%, $F$11)</f>
        <v>10.679399999999999</v>
      </c>
      <c r="G430" s="8">
        <f>CHOOSE( CONTROL!$C$29, 9.4445, 9.4404) * CHOOSE( CONTROL!$C$12, $D$11, 100%, $F$11)</f>
        <v>9.4444999999999997</v>
      </c>
      <c r="H430" s="4">
        <f>CHOOSE( CONTROL!$C$29, 10.3337, 10.3296) * CHOOSE(CONTROL!$C$12, $D$11, 100%, $F$11)</f>
        <v>10.3337</v>
      </c>
      <c r="I430" s="8">
        <f>CHOOSE( CONTROL!$C$29, 9.3376, 9.3335) * CHOOSE(CONTROL!$C$12, $D$11, 100%, $F$11)</f>
        <v>9.3376000000000001</v>
      </c>
      <c r="J430" s="4">
        <f>CHOOSE( CONTROL!$C$29, 9.3041, 9.3) * CHOOSE(CONTROL!$C$12, $D$11, 100%, $F$11)</f>
        <v>9.3041</v>
      </c>
      <c r="K430" s="4"/>
      <c r="L430" s="9">
        <v>28.568200000000001</v>
      </c>
      <c r="M430" s="9">
        <v>11.6745</v>
      </c>
      <c r="N430" s="9">
        <v>4.7850000000000001</v>
      </c>
      <c r="O430" s="9">
        <v>0.36249999999999999</v>
      </c>
      <c r="P430" s="9">
        <v>1.1798</v>
      </c>
      <c r="Q430" s="9">
        <v>19.4238</v>
      </c>
      <c r="R430" s="9"/>
      <c r="S430" s="11"/>
    </row>
    <row r="431" spans="1:19" ht="15.75">
      <c r="A431" s="13">
        <v>55000</v>
      </c>
      <c r="B431" s="8">
        <f>CHOOSE( CONTROL!$C$29, 10.1326, 10.1283) * CHOOSE(CONTROL!$C$12, $D$11, 100%, $F$11)</f>
        <v>10.1326</v>
      </c>
      <c r="C431" s="8">
        <f>CHOOSE( CONTROL!$C$29, 10.143, 10.1387) * CHOOSE(CONTROL!$C$12, $D$11, 100%, $F$11)</f>
        <v>10.143000000000001</v>
      </c>
      <c r="D431" s="8">
        <f>CHOOSE( CONTROL!$C$29, 10.1491, 10.1449) * CHOOSE( CONTROL!$C$12, $D$11, 100%, $F$11)</f>
        <v>10.149100000000001</v>
      </c>
      <c r="E431" s="12">
        <f>CHOOSE( CONTROL!$C$29, 10.1453, 10.1411) * CHOOSE( CONTROL!$C$12, $D$11, 100%, $F$11)</f>
        <v>10.145300000000001</v>
      </c>
      <c r="F431" s="4">
        <f>CHOOSE( CONTROL!$C$29, 11.1424, 11.1382) * CHOOSE(CONTROL!$C$12, $D$11, 100%, $F$11)</f>
        <v>11.1424</v>
      </c>
      <c r="G431" s="8">
        <f>CHOOSE( CONTROL!$C$29, 9.8777, 9.8735) * CHOOSE( CONTROL!$C$12, $D$11, 100%, $F$11)</f>
        <v>9.8777000000000008</v>
      </c>
      <c r="H431" s="4">
        <f>CHOOSE( CONTROL!$C$29, 10.7851, 10.7809) * CHOOSE(CONTROL!$C$12, $D$11, 100%, $F$11)</f>
        <v>10.7851</v>
      </c>
      <c r="I431" s="8">
        <f>CHOOSE( CONTROL!$C$29, 9.7933, 9.7892) * CHOOSE(CONTROL!$C$12, $D$11, 100%, $F$11)</f>
        <v>9.7933000000000003</v>
      </c>
      <c r="J431" s="4">
        <f>CHOOSE( CONTROL!$C$29, 9.7043, 9.7002) * CHOOSE(CONTROL!$C$12, $D$11, 100%, $F$11)</f>
        <v>9.7042999999999999</v>
      </c>
      <c r="K431" s="4"/>
      <c r="L431" s="9">
        <v>29.520499999999998</v>
      </c>
      <c r="M431" s="9">
        <v>12.063700000000001</v>
      </c>
      <c r="N431" s="9">
        <v>4.9444999999999997</v>
      </c>
      <c r="O431" s="9">
        <v>0.37459999999999999</v>
      </c>
      <c r="P431" s="9">
        <v>1.2192000000000001</v>
      </c>
      <c r="Q431" s="9">
        <v>20.071300000000001</v>
      </c>
      <c r="R431" s="9"/>
      <c r="S431" s="11"/>
    </row>
    <row r="432" spans="1:19" ht="15.75">
      <c r="A432" s="13">
        <v>55031</v>
      </c>
      <c r="B432" s="8">
        <f>CHOOSE( CONTROL!$C$29, 9.3511, 9.3469) * CHOOSE(CONTROL!$C$12, $D$11, 100%, $F$11)</f>
        <v>9.3511000000000006</v>
      </c>
      <c r="C432" s="8">
        <f>CHOOSE( CONTROL!$C$29, 9.3615, 9.3573) * CHOOSE(CONTROL!$C$12, $D$11, 100%, $F$11)</f>
        <v>9.3614999999999995</v>
      </c>
      <c r="D432" s="8">
        <f>CHOOSE( CONTROL!$C$29, 9.3841, 9.3799) * CHOOSE( CONTROL!$C$12, $D$11, 100%, $F$11)</f>
        <v>9.3841000000000001</v>
      </c>
      <c r="E432" s="12">
        <f>CHOOSE( CONTROL!$C$29, 9.3743, 9.3701) * CHOOSE( CONTROL!$C$12, $D$11, 100%, $F$11)</f>
        <v>9.3742999999999999</v>
      </c>
      <c r="F432" s="4">
        <f>CHOOSE( CONTROL!$C$29, 10.3897, 10.3854) * CHOOSE(CONTROL!$C$12, $D$11, 100%, $F$11)</f>
        <v>10.389699999999999</v>
      </c>
      <c r="G432" s="8">
        <f>CHOOSE( CONTROL!$C$29, 9.1215, 9.1174) * CHOOSE( CONTROL!$C$12, $D$11, 100%, $F$11)</f>
        <v>9.1214999999999993</v>
      </c>
      <c r="H432" s="4">
        <f>CHOOSE( CONTROL!$C$29, 10.0513, 10.0472) * CHOOSE(CONTROL!$C$12, $D$11, 100%, $F$11)</f>
        <v>10.051299999999999</v>
      </c>
      <c r="I432" s="8">
        <f>CHOOSE( CONTROL!$C$29, 9.0356, 9.0315) * CHOOSE(CONTROL!$C$12, $D$11, 100%, $F$11)</f>
        <v>9.0356000000000005</v>
      </c>
      <c r="J432" s="4">
        <f>CHOOSE( CONTROL!$C$29, 8.9555, 8.9514) * CHOOSE(CONTROL!$C$12, $D$11, 100%, $F$11)</f>
        <v>8.9555000000000007</v>
      </c>
      <c r="K432" s="4"/>
      <c r="L432" s="9">
        <v>29.520499999999998</v>
      </c>
      <c r="M432" s="9">
        <v>12.063700000000001</v>
      </c>
      <c r="N432" s="9">
        <v>4.9444999999999997</v>
      </c>
      <c r="O432" s="9">
        <v>0.37459999999999999</v>
      </c>
      <c r="P432" s="9">
        <v>1.2192000000000001</v>
      </c>
      <c r="Q432" s="9">
        <v>20.071300000000001</v>
      </c>
      <c r="R432" s="9"/>
      <c r="S432" s="11"/>
    </row>
    <row r="433" spans="1:19" ht="15.75">
      <c r="A433" s="13">
        <v>55061</v>
      </c>
      <c r="B433" s="8">
        <f>CHOOSE( CONTROL!$C$29, 9.1554, 9.1512) * CHOOSE(CONTROL!$C$12, $D$11, 100%, $F$11)</f>
        <v>9.1554000000000002</v>
      </c>
      <c r="C433" s="8">
        <f>CHOOSE( CONTROL!$C$29, 9.1659, 9.1616) * CHOOSE(CONTROL!$C$12, $D$11, 100%, $F$11)</f>
        <v>9.1659000000000006</v>
      </c>
      <c r="D433" s="8">
        <f>CHOOSE( CONTROL!$C$29, 9.1884, 9.1842) * CHOOSE( CONTROL!$C$12, $D$11, 100%, $F$11)</f>
        <v>9.1883999999999997</v>
      </c>
      <c r="E433" s="12">
        <f>CHOOSE( CONTROL!$C$29, 9.1786, 9.1744) * CHOOSE( CONTROL!$C$12, $D$11, 100%, $F$11)</f>
        <v>9.1785999999999994</v>
      </c>
      <c r="F433" s="4">
        <f>CHOOSE( CONTROL!$C$29, 10.194, 10.1897) * CHOOSE(CONTROL!$C$12, $D$11, 100%, $F$11)</f>
        <v>10.194000000000001</v>
      </c>
      <c r="G433" s="8">
        <f>CHOOSE( CONTROL!$C$29, 8.9305, 8.9263) * CHOOSE( CONTROL!$C$12, $D$11, 100%, $F$11)</f>
        <v>8.9305000000000003</v>
      </c>
      <c r="H433" s="4">
        <f>CHOOSE( CONTROL!$C$29, 9.8606, 9.8564) * CHOOSE(CONTROL!$C$12, $D$11, 100%, $F$11)</f>
        <v>9.8605999999999998</v>
      </c>
      <c r="I433" s="8">
        <f>CHOOSE( CONTROL!$C$29, 8.8463, 8.8422) * CHOOSE(CONTROL!$C$12, $D$11, 100%, $F$11)</f>
        <v>8.8462999999999994</v>
      </c>
      <c r="J433" s="4">
        <f>CHOOSE( CONTROL!$C$29, 8.768, 8.7639) * CHOOSE(CONTROL!$C$12, $D$11, 100%, $F$11)</f>
        <v>8.7680000000000007</v>
      </c>
      <c r="K433" s="4"/>
      <c r="L433" s="9">
        <v>28.568200000000001</v>
      </c>
      <c r="M433" s="9">
        <v>11.6745</v>
      </c>
      <c r="N433" s="9">
        <v>4.7850000000000001</v>
      </c>
      <c r="O433" s="9">
        <v>0.36249999999999999</v>
      </c>
      <c r="P433" s="9">
        <v>1.1798</v>
      </c>
      <c r="Q433" s="9">
        <v>19.4238</v>
      </c>
      <c r="R433" s="9"/>
      <c r="S433" s="11"/>
    </row>
    <row r="434" spans="1:19" ht="15.75">
      <c r="A434" s="13">
        <v>55092</v>
      </c>
      <c r="B434" s="8">
        <f>9.5575 * CHOOSE(CONTROL!$C$12, $D$11, 100%, $F$11)</f>
        <v>9.5574999999999992</v>
      </c>
      <c r="C434" s="8">
        <f>9.5679 * CHOOSE(CONTROL!$C$12, $D$11, 100%, $F$11)</f>
        <v>9.5678999999999998</v>
      </c>
      <c r="D434" s="8">
        <f>9.5723 * CHOOSE( CONTROL!$C$12, $D$11, 100%, $F$11)</f>
        <v>9.5723000000000003</v>
      </c>
      <c r="E434" s="12">
        <f>9.5697 * CHOOSE( CONTROL!$C$12, $D$11, 100%, $F$11)</f>
        <v>9.5696999999999992</v>
      </c>
      <c r="F434" s="4">
        <f>10.5647 * CHOOSE(CONTROL!$C$12, $D$11, 100%, $F$11)</f>
        <v>10.5647</v>
      </c>
      <c r="G434" s="8">
        <f>9.3127 * CHOOSE( CONTROL!$C$12, $D$11, 100%, $F$11)</f>
        <v>9.3126999999999995</v>
      </c>
      <c r="H434" s="4">
        <f>10.222 * CHOOSE(CONTROL!$C$12, $D$11, 100%, $F$11)</f>
        <v>10.222</v>
      </c>
      <c r="I434" s="8">
        <f>9.2283 * CHOOSE(CONTROL!$C$12, $D$11, 100%, $F$11)</f>
        <v>9.2283000000000008</v>
      </c>
      <c r="J434" s="4">
        <f>9.1532 * CHOOSE(CONTROL!$C$12, $D$11, 100%, $F$11)</f>
        <v>9.1532</v>
      </c>
      <c r="K434" s="4"/>
      <c r="L434" s="9">
        <v>28.921800000000001</v>
      </c>
      <c r="M434" s="9">
        <v>12.063700000000001</v>
      </c>
      <c r="N434" s="9">
        <v>4.9444999999999997</v>
      </c>
      <c r="O434" s="9">
        <v>0.37459999999999999</v>
      </c>
      <c r="P434" s="9">
        <v>1.2192000000000001</v>
      </c>
      <c r="Q434" s="9">
        <v>20.071300000000001</v>
      </c>
      <c r="R434" s="9"/>
      <c r="S434" s="11"/>
    </row>
    <row r="435" spans="1:19" ht="15.75">
      <c r="A435" s="13">
        <v>55122</v>
      </c>
      <c r="B435" s="8">
        <f>10.3074 * CHOOSE(CONTROL!$C$12, $D$11, 100%, $F$11)</f>
        <v>10.307399999999999</v>
      </c>
      <c r="C435" s="8">
        <f>10.3179 * CHOOSE(CONTROL!$C$12, $D$11, 100%, $F$11)</f>
        <v>10.3179</v>
      </c>
      <c r="D435" s="8">
        <f>10.3003 * CHOOSE( CONTROL!$C$12, $D$11, 100%, $F$11)</f>
        <v>10.3003</v>
      </c>
      <c r="E435" s="12">
        <f>10.3056 * CHOOSE( CONTROL!$C$12, $D$11, 100%, $F$11)</f>
        <v>10.3056</v>
      </c>
      <c r="F435" s="4">
        <f>11.3017 * CHOOSE(CONTROL!$C$12, $D$11, 100%, $F$11)</f>
        <v>11.3017</v>
      </c>
      <c r="G435" s="8">
        <f>10.0562 * CHOOSE( CONTROL!$C$12, $D$11, 100%, $F$11)</f>
        <v>10.0562</v>
      </c>
      <c r="H435" s="4">
        <f>10.9403 * CHOOSE(CONTROL!$C$12, $D$11, 100%, $F$11)</f>
        <v>10.940300000000001</v>
      </c>
      <c r="I435" s="8">
        <f>9.9708 * CHOOSE(CONTROL!$C$12, $D$11, 100%, $F$11)</f>
        <v>9.9708000000000006</v>
      </c>
      <c r="J435" s="4">
        <f>9.8718 * CHOOSE(CONTROL!$C$12, $D$11, 100%, $F$11)</f>
        <v>9.8718000000000004</v>
      </c>
      <c r="K435" s="4"/>
      <c r="L435" s="9">
        <v>26.515499999999999</v>
      </c>
      <c r="M435" s="9">
        <v>11.6745</v>
      </c>
      <c r="N435" s="9">
        <v>4.7850000000000001</v>
      </c>
      <c r="O435" s="9">
        <v>0.36249999999999999</v>
      </c>
      <c r="P435" s="9">
        <v>1.2522</v>
      </c>
      <c r="Q435" s="9">
        <v>19.4238</v>
      </c>
      <c r="R435" s="9"/>
      <c r="S435" s="11"/>
    </row>
    <row r="436" spans="1:19" ht="15.75">
      <c r="A436" s="13">
        <v>55153</v>
      </c>
      <c r="B436" s="8">
        <f>10.2887 * CHOOSE(CONTROL!$C$12, $D$11, 100%, $F$11)</f>
        <v>10.2887</v>
      </c>
      <c r="C436" s="8">
        <f>10.2991 * CHOOSE(CONTROL!$C$12, $D$11, 100%, $F$11)</f>
        <v>10.299099999999999</v>
      </c>
      <c r="D436" s="8">
        <f>10.2835 * CHOOSE( CONTROL!$C$12, $D$11, 100%, $F$11)</f>
        <v>10.2835</v>
      </c>
      <c r="E436" s="12">
        <f>10.2881 * CHOOSE( CONTROL!$C$12, $D$11, 100%, $F$11)</f>
        <v>10.2881</v>
      </c>
      <c r="F436" s="4">
        <f>11.2829 * CHOOSE(CONTROL!$C$12, $D$11, 100%, $F$11)</f>
        <v>11.2829</v>
      </c>
      <c r="G436" s="8">
        <f>10.0395 * CHOOSE( CONTROL!$C$12, $D$11, 100%, $F$11)</f>
        <v>10.0395</v>
      </c>
      <c r="H436" s="4">
        <f>10.922 * CHOOSE(CONTROL!$C$12, $D$11, 100%, $F$11)</f>
        <v>10.922000000000001</v>
      </c>
      <c r="I436" s="8">
        <f>9.96 * CHOOSE(CONTROL!$C$12, $D$11, 100%, $F$11)</f>
        <v>9.9600000000000009</v>
      </c>
      <c r="J436" s="4">
        <f>9.8539 * CHOOSE(CONTROL!$C$12, $D$11, 100%, $F$11)</f>
        <v>9.8538999999999994</v>
      </c>
      <c r="K436" s="4"/>
      <c r="L436" s="9">
        <v>27.3993</v>
      </c>
      <c r="M436" s="9">
        <v>12.063700000000001</v>
      </c>
      <c r="N436" s="9">
        <v>4.9444999999999997</v>
      </c>
      <c r="O436" s="9">
        <v>0.37459999999999999</v>
      </c>
      <c r="P436" s="9">
        <v>1.2939000000000001</v>
      </c>
      <c r="Q436" s="9">
        <v>20.071300000000001</v>
      </c>
      <c r="R436" s="9"/>
      <c r="S436" s="11"/>
    </row>
    <row r="437" spans="1:19" ht="15.75">
      <c r="A437" s="13">
        <v>55184</v>
      </c>
      <c r="B437" s="8">
        <f>10.6817 * CHOOSE(CONTROL!$C$12, $D$11, 100%, $F$11)</f>
        <v>10.681699999999999</v>
      </c>
      <c r="C437" s="8">
        <f>10.6922 * CHOOSE(CONTROL!$C$12, $D$11, 100%, $F$11)</f>
        <v>10.6922</v>
      </c>
      <c r="D437" s="8">
        <f>10.6898 * CHOOSE( CONTROL!$C$12, $D$11, 100%, $F$11)</f>
        <v>10.6898</v>
      </c>
      <c r="E437" s="12">
        <f>10.6896 * CHOOSE( CONTROL!$C$12, $D$11, 100%, $F$11)</f>
        <v>10.6896</v>
      </c>
      <c r="F437" s="4">
        <f>11.7047 * CHOOSE(CONTROL!$C$12, $D$11, 100%, $F$11)</f>
        <v>11.704700000000001</v>
      </c>
      <c r="G437" s="8">
        <f>10.4397 * CHOOSE( CONTROL!$C$12, $D$11, 100%, $F$11)</f>
        <v>10.4397</v>
      </c>
      <c r="H437" s="4">
        <f>11.3331 * CHOOSE(CONTROL!$C$12, $D$11, 100%, $F$11)</f>
        <v>11.3331</v>
      </c>
      <c r="I437" s="8">
        <f>10.3442 * CHOOSE(CONTROL!$C$12, $D$11, 100%, $F$11)</f>
        <v>10.344200000000001</v>
      </c>
      <c r="J437" s="4">
        <f>10.2305 * CHOOSE(CONTROL!$C$12, $D$11, 100%, $F$11)</f>
        <v>10.230499999999999</v>
      </c>
      <c r="K437" s="4"/>
      <c r="L437" s="9">
        <v>27.3993</v>
      </c>
      <c r="M437" s="9">
        <v>12.063700000000001</v>
      </c>
      <c r="N437" s="9">
        <v>4.9444999999999997</v>
      </c>
      <c r="O437" s="9">
        <v>0.37459999999999999</v>
      </c>
      <c r="P437" s="9">
        <v>1.2939000000000001</v>
      </c>
      <c r="Q437" s="9">
        <v>20.007999999999999</v>
      </c>
      <c r="R437" s="9"/>
      <c r="S437" s="11"/>
    </row>
    <row r="438" spans="1:19" ht="15.75">
      <c r="A438" s="13">
        <v>55212</v>
      </c>
      <c r="B438" s="8">
        <f>9.9915 * CHOOSE(CONTROL!$C$12, $D$11, 100%, $F$11)</f>
        <v>9.9915000000000003</v>
      </c>
      <c r="C438" s="8">
        <f>10.0019 * CHOOSE(CONTROL!$C$12, $D$11, 100%, $F$11)</f>
        <v>10.001899999999999</v>
      </c>
      <c r="D438" s="8">
        <f>10.0019 * CHOOSE( CONTROL!$C$12, $D$11, 100%, $F$11)</f>
        <v>10.001899999999999</v>
      </c>
      <c r="E438" s="12">
        <f>10.0008 * CHOOSE( CONTROL!$C$12, $D$11, 100%, $F$11)</f>
        <v>10.0008</v>
      </c>
      <c r="F438" s="4">
        <f>11.0066 * CHOOSE(CONTROL!$C$12, $D$11, 100%, $F$11)</f>
        <v>11.006600000000001</v>
      </c>
      <c r="G438" s="8">
        <f>9.7668 * CHOOSE( CONTROL!$C$12, $D$11, 100%, $F$11)</f>
        <v>9.7667999999999999</v>
      </c>
      <c r="H438" s="4">
        <f>10.6527 * CHOOSE(CONTROL!$C$12, $D$11, 100%, $F$11)</f>
        <v>10.652699999999999</v>
      </c>
      <c r="I438" s="8">
        <f>9.6715 * CHOOSE(CONTROL!$C$12, $D$11, 100%, $F$11)</f>
        <v>9.6715</v>
      </c>
      <c r="J438" s="4">
        <f>9.5691 * CHOOSE(CONTROL!$C$12, $D$11, 100%, $F$11)</f>
        <v>9.5691000000000006</v>
      </c>
      <c r="K438" s="4"/>
      <c r="L438" s="9">
        <v>24.747800000000002</v>
      </c>
      <c r="M438" s="9">
        <v>10.8962</v>
      </c>
      <c r="N438" s="9">
        <v>4.4660000000000002</v>
      </c>
      <c r="O438" s="9">
        <v>0.33829999999999999</v>
      </c>
      <c r="P438" s="9">
        <v>1.1687000000000001</v>
      </c>
      <c r="Q438" s="9">
        <v>18.0718</v>
      </c>
      <c r="R438" s="9"/>
      <c r="S438" s="11"/>
    </row>
    <row r="439" spans="1:19" ht="15.75">
      <c r="A439" s="13">
        <v>55243</v>
      </c>
      <c r="B439" s="8">
        <f>9.7789 * CHOOSE(CONTROL!$C$12, $D$11, 100%, $F$11)</f>
        <v>9.7789000000000001</v>
      </c>
      <c r="C439" s="8">
        <f>9.7894 * CHOOSE(CONTROL!$C$12, $D$11, 100%, $F$11)</f>
        <v>9.7894000000000005</v>
      </c>
      <c r="D439" s="8">
        <f>9.7692 * CHOOSE( CONTROL!$C$12, $D$11, 100%, $F$11)</f>
        <v>9.7691999999999997</v>
      </c>
      <c r="E439" s="12">
        <f>9.7755 * CHOOSE( CONTROL!$C$12, $D$11, 100%, $F$11)</f>
        <v>9.7754999999999992</v>
      </c>
      <c r="F439" s="4">
        <f>10.7778 * CHOOSE(CONTROL!$C$12, $D$11, 100%, $F$11)</f>
        <v>10.777799999999999</v>
      </c>
      <c r="G439" s="8">
        <f>9.5391 * CHOOSE( CONTROL!$C$12, $D$11, 100%, $F$11)</f>
        <v>9.5390999999999995</v>
      </c>
      <c r="H439" s="4">
        <f>10.4297 * CHOOSE(CONTROL!$C$12, $D$11, 100%, $F$11)</f>
        <v>10.4297</v>
      </c>
      <c r="I439" s="8">
        <f>9.4282 * CHOOSE(CONTROL!$C$12, $D$11, 100%, $F$11)</f>
        <v>9.4282000000000004</v>
      </c>
      <c r="J439" s="4">
        <f>9.3654 * CHOOSE(CONTROL!$C$12, $D$11, 100%, $F$11)</f>
        <v>9.3653999999999993</v>
      </c>
      <c r="K439" s="4"/>
      <c r="L439" s="9">
        <v>27.3993</v>
      </c>
      <c r="M439" s="9">
        <v>12.063700000000001</v>
      </c>
      <c r="N439" s="9">
        <v>4.9444999999999997</v>
      </c>
      <c r="O439" s="9">
        <v>0.37459999999999999</v>
      </c>
      <c r="P439" s="9">
        <v>1.2939000000000001</v>
      </c>
      <c r="Q439" s="9">
        <v>20.007999999999999</v>
      </c>
      <c r="R439" s="9"/>
      <c r="S439" s="11"/>
    </row>
    <row r="440" spans="1:19" ht="15.75">
      <c r="A440" s="13">
        <v>55273</v>
      </c>
      <c r="B440" s="8">
        <f>9.9275 * CHOOSE(CONTROL!$C$12, $D$11, 100%, $F$11)</f>
        <v>9.9275000000000002</v>
      </c>
      <c r="C440" s="8">
        <f>9.9379 * CHOOSE(CONTROL!$C$12, $D$11, 100%, $F$11)</f>
        <v>9.9379000000000008</v>
      </c>
      <c r="D440" s="8">
        <f>9.9411 * CHOOSE( CONTROL!$C$12, $D$11, 100%, $F$11)</f>
        <v>9.9411000000000005</v>
      </c>
      <c r="E440" s="12">
        <f>9.9389 * CHOOSE( CONTROL!$C$12, $D$11, 100%, $F$11)</f>
        <v>9.9389000000000003</v>
      </c>
      <c r="F440" s="4">
        <f>10.9347 * CHOOSE(CONTROL!$C$12, $D$11, 100%, $F$11)</f>
        <v>10.934699999999999</v>
      </c>
      <c r="G440" s="8">
        <f>9.6717 * CHOOSE( CONTROL!$C$12, $D$11, 100%, $F$11)</f>
        <v>9.6716999999999995</v>
      </c>
      <c r="H440" s="4">
        <f>10.5826 * CHOOSE(CONTROL!$C$12, $D$11, 100%, $F$11)</f>
        <v>10.582599999999999</v>
      </c>
      <c r="I440" s="8">
        <f>9.5607 * CHOOSE(CONTROL!$C$12, $D$11, 100%, $F$11)</f>
        <v>9.5607000000000006</v>
      </c>
      <c r="J440" s="4">
        <f>9.5077 * CHOOSE(CONTROL!$C$12, $D$11, 100%, $F$11)</f>
        <v>9.5076999999999998</v>
      </c>
      <c r="K440" s="4"/>
      <c r="L440" s="9">
        <v>27.988800000000001</v>
      </c>
      <c r="M440" s="9">
        <v>11.6745</v>
      </c>
      <c r="N440" s="9">
        <v>4.7850000000000001</v>
      </c>
      <c r="O440" s="9">
        <v>0.36249999999999999</v>
      </c>
      <c r="P440" s="9">
        <v>1.1798</v>
      </c>
      <c r="Q440" s="9">
        <v>19.3626</v>
      </c>
      <c r="R440" s="9"/>
      <c r="S440" s="11"/>
    </row>
    <row r="441" spans="1:19" ht="15.75">
      <c r="A441" s="13">
        <v>55304</v>
      </c>
      <c r="B441" s="8">
        <f>CHOOSE( CONTROL!$C$29, 10.1961, 10.1919) * CHOOSE(CONTROL!$C$12, $D$11, 100%, $F$11)</f>
        <v>10.196099999999999</v>
      </c>
      <c r="C441" s="8">
        <f>CHOOSE( CONTROL!$C$29, 10.2065, 10.2023) * CHOOSE(CONTROL!$C$12, $D$11, 100%, $F$11)</f>
        <v>10.2065</v>
      </c>
      <c r="D441" s="8">
        <f>CHOOSE( CONTROL!$C$29, 10.1845, 10.1802) * CHOOSE( CONTROL!$C$12, $D$11, 100%, $F$11)</f>
        <v>10.1845</v>
      </c>
      <c r="E441" s="12">
        <f>CHOOSE( CONTROL!$C$29, 10.1909, 10.1866) * CHOOSE( CONTROL!$C$12, $D$11, 100%, $F$11)</f>
        <v>10.190899999999999</v>
      </c>
      <c r="F441" s="4">
        <f>CHOOSE( CONTROL!$C$29, 11.171, 11.1668) * CHOOSE(CONTROL!$C$12, $D$11, 100%, $F$11)</f>
        <v>11.170999999999999</v>
      </c>
      <c r="G441" s="8">
        <f>CHOOSE( CONTROL!$C$29, 9.9148, 9.9107) * CHOOSE( CONTROL!$C$12, $D$11, 100%, $F$11)</f>
        <v>9.9147999999999996</v>
      </c>
      <c r="H441" s="4">
        <f>CHOOSE( CONTROL!$C$29, 10.8129, 10.8088) * CHOOSE(CONTROL!$C$12, $D$11, 100%, $F$11)</f>
        <v>10.812900000000001</v>
      </c>
      <c r="I441" s="8">
        <f>CHOOSE( CONTROL!$C$29, 9.7967, 9.7927) * CHOOSE(CONTROL!$C$12, $D$11, 100%, $F$11)</f>
        <v>9.7966999999999995</v>
      </c>
      <c r="J441" s="4">
        <f>CHOOSE( CONTROL!$C$29, 9.7652, 9.7611) * CHOOSE(CONTROL!$C$12, $D$11, 100%, $F$11)</f>
        <v>9.7652000000000001</v>
      </c>
      <c r="K441" s="4"/>
      <c r="L441" s="9">
        <v>29.520499999999998</v>
      </c>
      <c r="M441" s="9">
        <v>12.063700000000001</v>
      </c>
      <c r="N441" s="9">
        <v>4.9444999999999997</v>
      </c>
      <c r="O441" s="9">
        <v>0.37459999999999999</v>
      </c>
      <c r="P441" s="9">
        <v>1.2192000000000001</v>
      </c>
      <c r="Q441" s="9">
        <v>20.007999999999999</v>
      </c>
      <c r="R441" s="9"/>
      <c r="S441" s="11"/>
    </row>
    <row r="442" spans="1:19" ht="15.75">
      <c r="A442" s="13">
        <v>55334</v>
      </c>
      <c r="B442" s="8">
        <f>CHOOSE( CONTROL!$C$29, 10.0323, 10.0281) * CHOOSE(CONTROL!$C$12, $D$11, 100%, $F$11)</f>
        <v>10.032299999999999</v>
      </c>
      <c r="C442" s="8">
        <f>CHOOSE( CONTROL!$C$29, 10.0428, 10.0385) * CHOOSE(CONTROL!$C$12, $D$11, 100%, $F$11)</f>
        <v>10.0428</v>
      </c>
      <c r="D442" s="8">
        <f>CHOOSE( CONTROL!$C$29, 10.0151, 10.0108) * CHOOSE( CONTROL!$C$12, $D$11, 100%, $F$11)</f>
        <v>10.0151</v>
      </c>
      <c r="E442" s="12">
        <f>CHOOSE( CONTROL!$C$29, 10.0235, 10.0193) * CHOOSE( CONTROL!$C$12, $D$11, 100%, $F$11)</f>
        <v>10.0235</v>
      </c>
      <c r="F442" s="4">
        <f>CHOOSE( CONTROL!$C$29, 10.9968, 10.9925) * CHOOSE(CONTROL!$C$12, $D$11, 100%, $F$11)</f>
        <v>10.9968</v>
      </c>
      <c r="G442" s="8">
        <f>CHOOSE( CONTROL!$C$29, 9.7539, 9.7498) * CHOOSE( CONTROL!$C$12, $D$11, 100%, $F$11)</f>
        <v>9.7538999999999998</v>
      </c>
      <c r="H442" s="4">
        <f>CHOOSE( CONTROL!$C$29, 10.6431, 10.639) * CHOOSE(CONTROL!$C$12, $D$11, 100%, $F$11)</f>
        <v>10.6431</v>
      </c>
      <c r="I442" s="8">
        <f>CHOOSE( CONTROL!$C$29, 9.6419, 9.6378) * CHOOSE(CONTROL!$C$12, $D$11, 100%, $F$11)</f>
        <v>9.6418999999999997</v>
      </c>
      <c r="J442" s="4">
        <f>CHOOSE( CONTROL!$C$29, 9.6082, 9.6042) * CHOOSE(CONTROL!$C$12, $D$11, 100%, $F$11)</f>
        <v>9.6082000000000001</v>
      </c>
      <c r="K442" s="4"/>
      <c r="L442" s="9">
        <v>28.568200000000001</v>
      </c>
      <c r="M442" s="9">
        <v>11.6745</v>
      </c>
      <c r="N442" s="9">
        <v>4.7850000000000001</v>
      </c>
      <c r="O442" s="9">
        <v>0.36249999999999999</v>
      </c>
      <c r="P442" s="9">
        <v>1.1798</v>
      </c>
      <c r="Q442" s="9">
        <v>19.3626</v>
      </c>
      <c r="R442" s="9"/>
      <c r="S442" s="11"/>
    </row>
    <row r="443" spans="1:19" ht="15.75">
      <c r="A443" s="13">
        <v>55365</v>
      </c>
      <c r="B443" s="8">
        <f>CHOOSE( CONTROL!$C$29, 10.4636, 10.4594) * CHOOSE(CONTROL!$C$12, $D$11, 100%, $F$11)</f>
        <v>10.4636</v>
      </c>
      <c r="C443" s="8">
        <f>CHOOSE( CONTROL!$C$29, 10.4741, 10.4698) * CHOOSE(CONTROL!$C$12, $D$11, 100%, $F$11)</f>
        <v>10.4741</v>
      </c>
      <c r="D443" s="8">
        <f>CHOOSE( CONTROL!$C$29, 10.4802, 10.4759) * CHOOSE( CONTROL!$C$12, $D$11, 100%, $F$11)</f>
        <v>10.4802</v>
      </c>
      <c r="E443" s="12">
        <f>CHOOSE( CONTROL!$C$29, 10.4764, 10.4721) * CHOOSE( CONTROL!$C$12, $D$11, 100%, $F$11)</f>
        <v>10.4764</v>
      </c>
      <c r="F443" s="4">
        <f>CHOOSE( CONTROL!$C$29, 11.4735, 11.4692) * CHOOSE(CONTROL!$C$12, $D$11, 100%, $F$11)</f>
        <v>11.4735</v>
      </c>
      <c r="G443" s="8">
        <f>CHOOSE( CONTROL!$C$29, 10.2004, 10.1962) * CHOOSE( CONTROL!$C$12, $D$11, 100%, $F$11)</f>
        <v>10.2004</v>
      </c>
      <c r="H443" s="4">
        <f>CHOOSE( CONTROL!$C$29, 11.1078, 11.1036) * CHOOSE(CONTROL!$C$12, $D$11, 100%, $F$11)</f>
        <v>11.107799999999999</v>
      </c>
      <c r="I443" s="8">
        <f>CHOOSE( CONTROL!$C$29, 10.1106, 10.1066) * CHOOSE(CONTROL!$C$12, $D$11, 100%, $F$11)</f>
        <v>10.1106</v>
      </c>
      <c r="J443" s="4">
        <f>CHOOSE( CONTROL!$C$29, 10.0215, 10.0174) * CHOOSE(CONTROL!$C$12, $D$11, 100%, $F$11)</f>
        <v>10.0215</v>
      </c>
      <c r="K443" s="4"/>
      <c r="L443" s="9">
        <v>29.520499999999998</v>
      </c>
      <c r="M443" s="9">
        <v>12.063700000000001</v>
      </c>
      <c r="N443" s="9">
        <v>4.9444999999999997</v>
      </c>
      <c r="O443" s="9">
        <v>0.37459999999999999</v>
      </c>
      <c r="P443" s="9">
        <v>1.2192000000000001</v>
      </c>
      <c r="Q443" s="9">
        <v>20.007999999999999</v>
      </c>
      <c r="R443" s="9"/>
      <c r="S443" s="11"/>
    </row>
    <row r="444" spans="1:19" ht="15.75">
      <c r="A444" s="13">
        <v>55396</v>
      </c>
      <c r="B444" s="8">
        <f>CHOOSE( CONTROL!$C$29, 9.6566, 9.6524) * CHOOSE(CONTROL!$C$12, $D$11, 100%, $F$11)</f>
        <v>9.6565999999999992</v>
      </c>
      <c r="C444" s="8">
        <f>CHOOSE( CONTROL!$C$29, 9.6671, 9.6628) * CHOOSE(CONTROL!$C$12, $D$11, 100%, $F$11)</f>
        <v>9.6670999999999996</v>
      </c>
      <c r="D444" s="8">
        <f>CHOOSE( CONTROL!$C$29, 9.6896, 9.6854) * CHOOSE( CONTROL!$C$12, $D$11, 100%, $F$11)</f>
        <v>9.6896000000000004</v>
      </c>
      <c r="E444" s="12">
        <f>CHOOSE( CONTROL!$C$29, 9.6798, 9.6756) * CHOOSE( CONTROL!$C$12, $D$11, 100%, $F$11)</f>
        <v>9.6798000000000002</v>
      </c>
      <c r="F444" s="4">
        <f>CHOOSE( CONTROL!$C$29, 10.6952, 10.6909) * CHOOSE(CONTROL!$C$12, $D$11, 100%, $F$11)</f>
        <v>10.6952</v>
      </c>
      <c r="G444" s="8">
        <f>CHOOSE( CONTROL!$C$29, 9.4193, 9.4152) * CHOOSE( CONTROL!$C$12, $D$11, 100%, $F$11)</f>
        <v>9.4192999999999998</v>
      </c>
      <c r="H444" s="4">
        <f>CHOOSE( CONTROL!$C$29, 10.3491, 10.345) * CHOOSE(CONTROL!$C$12, $D$11, 100%, $F$11)</f>
        <v>10.3491</v>
      </c>
      <c r="I444" s="8">
        <f>CHOOSE( CONTROL!$C$29, 9.3285, 9.3244) * CHOOSE(CONTROL!$C$12, $D$11, 100%, $F$11)</f>
        <v>9.3285</v>
      </c>
      <c r="J444" s="4">
        <f>CHOOSE( CONTROL!$C$29, 9.2482, 9.2441) * CHOOSE(CONTROL!$C$12, $D$11, 100%, $F$11)</f>
        <v>9.2482000000000006</v>
      </c>
      <c r="K444" s="4"/>
      <c r="L444" s="9">
        <v>29.520499999999998</v>
      </c>
      <c r="M444" s="9">
        <v>12.063700000000001</v>
      </c>
      <c r="N444" s="9">
        <v>4.9444999999999997</v>
      </c>
      <c r="O444" s="9">
        <v>0.37459999999999999</v>
      </c>
      <c r="P444" s="9">
        <v>1.2192000000000001</v>
      </c>
      <c r="Q444" s="9">
        <v>20.007999999999999</v>
      </c>
      <c r="R444" s="9"/>
      <c r="S444" s="11"/>
    </row>
    <row r="445" spans="1:19" ht="15.75">
      <c r="A445" s="13">
        <v>55426</v>
      </c>
      <c r="B445" s="8">
        <f>CHOOSE( CONTROL!$C$29, 9.4545, 9.4503) * CHOOSE(CONTROL!$C$12, $D$11, 100%, $F$11)</f>
        <v>9.4544999999999995</v>
      </c>
      <c r="C445" s="8">
        <f>CHOOSE( CONTROL!$C$29, 9.465, 9.4607) * CHOOSE(CONTROL!$C$12, $D$11, 100%, $F$11)</f>
        <v>9.4649999999999999</v>
      </c>
      <c r="D445" s="8">
        <f>CHOOSE( CONTROL!$C$29, 9.4875, 9.4833) * CHOOSE( CONTROL!$C$12, $D$11, 100%, $F$11)</f>
        <v>9.4875000000000007</v>
      </c>
      <c r="E445" s="12">
        <f>CHOOSE( CONTROL!$C$29, 9.4777, 9.4735) * CHOOSE( CONTROL!$C$12, $D$11, 100%, $F$11)</f>
        <v>9.4777000000000005</v>
      </c>
      <c r="F445" s="4">
        <f>CHOOSE( CONTROL!$C$29, 10.4931, 10.4889) * CHOOSE(CONTROL!$C$12, $D$11, 100%, $F$11)</f>
        <v>10.4931</v>
      </c>
      <c r="G445" s="8">
        <f>CHOOSE( CONTROL!$C$29, 9.222, 9.2179) * CHOOSE( CONTROL!$C$12, $D$11, 100%, $F$11)</f>
        <v>9.2219999999999995</v>
      </c>
      <c r="H445" s="4">
        <f>CHOOSE( CONTROL!$C$29, 10.1521, 10.148) * CHOOSE(CONTROL!$C$12, $D$11, 100%, $F$11)</f>
        <v>10.152100000000001</v>
      </c>
      <c r="I445" s="8">
        <f>CHOOSE( CONTROL!$C$29, 9.133, 9.1289) * CHOOSE(CONTROL!$C$12, $D$11, 100%, $F$11)</f>
        <v>9.1329999999999991</v>
      </c>
      <c r="J445" s="4">
        <f>CHOOSE( CONTROL!$C$29, 9.0546, 9.0505) * CHOOSE(CONTROL!$C$12, $D$11, 100%, $F$11)</f>
        <v>9.0546000000000006</v>
      </c>
      <c r="K445" s="4"/>
      <c r="L445" s="9">
        <v>28.568200000000001</v>
      </c>
      <c r="M445" s="9">
        <v>11.6745</v>
      </c>
      <c r="N445" s="9">
        <v>4.7850000000000001</v>
      </c>
      <c r="O445" s="9">
        <v>0.36249999999999999</v>
      </c>
      <c r="P445" s="9">
        <v>1.1798</v>
      </c>
      <c r="Q445" s="9">
        <v>19.3626</v>
      </c>
      <c r="R445" s="9"/>
      <c r="S445" s="11"/>
    </row>
    <row r="446" spans="1:19" ht="15.75">
      <c r="A446" s="13">
        <v>55457</v>
      </c>
      <c r="B446" s="8">
        <f>9.8699 * CHOOSE(CONTROL!$C$12, $D$11, 100%, $F$11)</f>
        <v>9.8698999999999995</v>
      </c>
      <c r="C446" s="8">
        <f>9.8803 * CHOOSE(CONTROL!$C$12, $D$11, 100%, $F$11)</f>
        <v>9.8803000000000001</v>
      </c>
      <c r="D446" s="8">
        <f>9.8848 * CHOOSE( CONTROL!$C$12, $D$11, 100%, $F$11)</f>
        <v>9.8848000000000003</v>
      </c>
      <c r="E446" s="12">
        <f>9.8822 * CHOOSE( CONTROL!$C$12, $D$11, 100%, $F$11)</f>
        <v>9.8821999999999992</v>
      </c>
      <c r="F446" s="4">
        <f>10.8771 * CHOOSE(CONTROL!$C$12, $D$11, 100%, $F$11)</f>
        <v>10.8771</v>
      </c>
      <c r="G446" s="8">
        <f>9.6172 * CHOOSE( CONTROL!$C$12, $D$11, 100%, $F$11)</f>
        <v>9.6172000000000004</v>
      </c>
      <c r="H446" s="4">
        <f>10.5265 * CHOOSE(CONTROL!$C$12, $D$11, 100%, $F$11)</f>
        <v>10.5265</v>
      </c>
      <c r="I446" s="8">
        <f>9.5278 * CHOOSE(CONTROL!$C$12, $D$11, 100%, $F$11)</f>
        <v>9.5277999999999992</v>
      </c>
      <c r="J446" s="4">
        <f>9.4526 * CHOOSE(CONTROL!$C$12, $D$11, 100%, $F$11)</f>
        <v>9.4526000000000003</v>
      </c>
      <c r="K446" s="4"/>
      <c r="L446" s="9">
        <v>28.921800000000001</v>
      </c>
      <c r="M446" s="9">
        <v>12.063700000000001</v>
      </c>
      <c r="N446" s="9">
        <v>4.9444999999999997</v>
      </c>
      <c r="O446" s="9">
        <v>0.37459999999999999</v>
      </c>
      <c r="P446" s="9">
        <v>1.2192000000000001</v>
      </c>
      <c r="Q446" s="9">
        <v>20.007999999999999</v>
      </c>
      <c r="R446" s="9"/>
      <c r="S446" s="11"/>
    </row>
    <row r="447" spans="1:19" ht="15.75">
      <c r="A447" s="13">
        <v>55487</v>
      </c>
      <c r="B447" s="8">
        <f>10.6444 * CHOOSE(CONTROL!$C$12, $D$11, 100%, $F$11)</f>
        <v>10.644399999999999</v>
      </c>
      <c r="C447" s="8">
        <f>10.6548 * CHOOSE(CONTROL!$C$12, $D$11, 100%, $F$11)</f>
        <v>10.6548</v>
      </c>
      <c r="D447" s="8">
        <f>10.6372 * CHOOSE( CONTROL!$C$12, $D$11, 100%, $F$11)</f>
        <v>10.6372</v>
      </c>
      <c r="E447" s="12">
        <f>10.6425 * CHOOSE( CONTROL!$C$12, $D$11, 100%, $F$11)</f>
        <v>10.6425</v>
      </c>
      <c r="F447" s="4">
        <f>11.6386 * CHOOSE(CONTROL!$C$12, $D$11, 100%, $F$11)</f>
        <v>11.6386</v>
      </c>
      <c r="G447" s="8">
        <f>10.3846 * CHOOSE( CONTROL!$C$12, $D$11, 100%, $F$11)</f>
        <v>10.384600000000001</v>
      </c>
      <c r="H447" s="4">
        <f>11.2687 * CHOOSE(CONTROL!$C$12, $D$11, 100%, $F$11)</f>
        <v>11.268700000000001</v>
      </c>
      <c r="I447" s="8">
        <f>10.2938 * CHOOSE(CONTROL!$C$12, $D$11, 100%, $F$11)</f>
        <v>10.293799999999999</v>
      </c>
      <c r="J447" s="4">
        <f>10.1947 * CHOOSE(CONTROL!$C$12, $D$11, 100%, $F$11)</f>
        <v>10.194699999999999</v>
      </c>
      <c r="K447" s="4"/>
      <c r="L447" s="9">
        <v>26.515499999999999</v>
      </c>
      <c r="M447" s="9">
        <v>11.6745</v>
      </c>
      <c r="N447" s="9">
        <v>4.7850000000000001</v>
      </c>
      <c r="O447" s="9">
        <v>0.36249999999999999</v>
      </c>
      <c r="P447" s="9">
        <v>1.2522</v>
      </c>
      <c r="Q447" s="9">
        <v>19.3626</v>
      </c>
      <c r="R447" s="9"/>
      <c r="S447" s="11"/>
    </row>
    <row r="448" spans="1:19" ht="15.75">
      <c r="A448" s="13">
        <v>55518</v>
      </c>
      <c r="B448" s="8">
        <f>10.625 * CHOOSE(CONTROL!$C$12, $D$11, 100%, $F$11)</f>
        <v>10.625</v>
      </c>
      <c r="C448" s="8">
        <f>10.6355 * CHOOSE(CONTROL!$C$12, $D$11, 100%, $F$11)</f>
        <v>10.6355</v>
      </c>
      <c r="D448" s="8">
        <f>10.6199 * CHOOSE( CONTROL!$C$12, $D$11, 100%, $F$11)</f>
        <v>10.619899999999999</v>
      </c>
      <c r="E448" s="12">
        <f>10.6245 * CHOOSE( CONTROL!$C$12, $D$11, 100%, $F$11)</f>
        <v>10.624499999999999</v>
      </c>
      <c r="F448" s="4">
        <f>11.6192 * CHOOSE(CONTROL!$C$12, $D$11, 100%, $F$11)</f>
        <v>11.619199999999999</v>
      </c>
      <c r="G448" s="8">
        <f>10.3673 * CHOOSE( CONTROL!$C$12, $D$11, 100%, $F$11)</f>
        <v>10.3673</v>
      </c>
      <c r="H448" s="4">
        <f>11.2498 * CHOOSE(CONTROL!$C$12, $D$11, 100%, $F$11)</f>
        <v>11.2498</v>
      </c>
      <c r="I448" s="8">
        <f>10.2825 * CHOOSE(CONTROL!$C$12, $D$11, 100%, $F$11)</f>
        <v>10.282500000000001</v>
      </c>
      <c r="J448" s="4">
        <f>10.1761 * CHOOSE(CONTROL!$C$12, $D$11, 100%, $F$11)</f>
        <v>10.1761</v>
      </c>
      <c r="K448" s="4"/>
      <c r="L448" s="9">
        <v>27.3993</v>
      </c>
      <c r="M448" s="9">
        <v>12.063700000000001</v>
      </c>
      <c r="N448" s="9">
        <v>4.9444999999999997</v>
      </c>
      <c r="O448" s="9">
        <v>0.37459999999999999</v>
      </c>
      <c r="P448" s="9">
        <v>1.2939000000000001</v>
      </c>
      <c r="Q448" s="9">
        <v>20.007999999999999</v>
      </c>
      <c r="R448" s="9"/>
      <c r="S448" s="11"/>
    </row>
    <row r="449" spans="1:19" ht="15.75">
      <c r="A449" s="13">
        <v>55549</v>
      </c>
      <c r="B449" s="8">
        <f>11.0309 * CHOOSE(CONTROL!$C$12, $D$11, 100%, $F$11)</f>
        <v>11.030900000000001</v>
      </c>
      <c r="C449" s="8">
        <f>11.0414 * CHOOSE(CONTROL!$C$12, $D$11, 100%, $F$11)</f>
        <v>11.041399999999999</v>
      </c>
      <c r="D449" s="8">
        <f>11.039 * CHOOSE( CONTROL!$C$12, $D$11, 100%, $F$11)</f>
        <v>11.039</v>
      </c>
      <c r="E449" s="12">
        <f>11.0388 * CHOOSE( CONTROL!$C$12, $D$11, 100%, $F$11)</f>
        <v>11.0388</v>
      </c>
      <c r="F449" s="4">
        <f>12.0538 * CHOOSE(CONTROL!$C$12, $D$11, 100%, $F$11)</f>
        <v>12.053800000000001</v>
      </c>
      <c r="G449" s="8">
        <f>10.7801 * CHOOSE( CONTROL!$C$12, $D$11, 100%, $F$11)</f>
        <v>10.780099999999999</v>
      </c>
      <c r="H449" s="4">
        <f>11.6735 * CHOOSE(CONTROL!$C$12, $D$11, 100%, $F$11)</f>
        <v>11.673500000000001</v>
      </c>
      <c r="I449" s="8">
        <f>10.6789 * CHOOSE(CONTROL!$C$12, $D$11, 100%, $F$11)</f>
        <v>10.678900000000001</v>
      </c>
      <c r="J449" s="4">
        <f>10.5651 * CHOOSE(CONTROL!$C$12, $D$11, 100%, $F$11)</f>
        <v>10.565099999999999</v>
      </c>
      <c r="K449" s="4"/>
      <c r="L449" s="9">
        <v>27.3993</v>
      </c>
      <c r="M449" s="9">
        <v>12.063700000000001</v>
      </c>
      <c r="N449" s="9">
        <v>4.9444999999999997</v>
      </c>
      <c r="O449" s="9">
        <v>0.37459999999999999</v>
      </c>
      <c r="P449" s="9">
        <v>1.2939000000000001</v>
      </c>
      <c r="Q449" s="9">
        <v>19.942900000000002</v>
      </c>
      <c r="R449" s="9"/>
      <c r="S449" s="11"/>
    </row>
    <row r="450" spans="1:19" ht="15.75">
      <c r="A450" s="13">
        <v>55577</v>
      </c>
      <c r="B450" s="8">
        <f>10.3181 * CHOOSE(CONTROL!$C$12, $D$11, 100%, $F$11)</f>
        <v>10.318099999999999</v>
      </c>
      <c r="C450" s="8">
        <f>10.3285 * CHOOSE(CONTROL!$C$12, $D$11, 100%, $F$11)</f>
        <v>10.3285</v>
      </c>
      <c r="D450" s="8">
        <f>10.3285 * CHOOSE( CONTROL!$C$12, $D$11, 100%, $F$11)</f>
        <v>10.3285</v>
      </c>
      <c r="E450" s="12">
        <f>10.3274 * CHOOSE( CONTROL!$C$12, $D$11, 100%, $F$11)</f>
        <v>10.327400000000001</v>
      </c>
      <c r="F450" s="4">
        <f>11.3332 * CHOOSE(CONTROL!$C$12, $D$11, 100%, $F$11)</f>
        <v>11.3332</v>
      </c>
      <c r="G450" s="8">
        <f>10.0851 * CHOOSE( CONTROL!$C$12, $D$11, 100%, $F$11)</f>
        <v>10.085100000000001</v>
      </c>
      <c r="H450" s="4">
        <f>10.971 * CHOOSE(CONTROL!$C$12, $D$11, 100%, $F$11)</f>
        <v>10.971</v>
      </c>
      <c r="I450" s="8">
        <f>9.9846 * CHOOSE(CONTROL!$C$12, $D$11, 100%, $F$11)</f>
        <v>9.9846000000000004</v>
      </c>
      <c r="J450" s="4">
        <f>9.8821 * CHOOSE(CONTROL!$C$12, $D$11, 100%, $F$11)</f>
        <v>9.8820999999999994</v>
      </c>
      <c r="K450" s="4"/>
      <c r="L450" s="9">
        <v>25.631599999999999</v>
      </c>
      <c r="M450" s="9">
        <v>11.285299999999999</v>
      </c>
      <c r="N450" s="9">
        <v>4.6254999999999997</v>
      </c>
      <c r="O450" s="9">
        <v>0.35039999999999999</v>
      </c>
      <c r="P450" s="9">
        <v>1.2104999999999999</v>
      </c>
      <c r="Q450" s="9">
        <v>18.656300000000002</v>
      </c>
      <c r="R450" s="9"/>
      <c r="S450" s="11"/>
    </row>
    <row r="451" spans="1:19" ht="15.75">
      <c r="A451" s="13">
        <v>55609</v>
      </c>
      <c r="B451" s="8">
        <f>10.0986 * CHOOSE(CONTROL!$C$12, $D$11, 100%, $F$11)</f>
        <v>10.098599999999999</v>
      </c>
      <c r="C451" s="8">
        <f>10.109 * CHOOSE(CONTROL!$C$12, $D$11, 100%, $F$11)</f>
        <v>10.109</v>
      </c>
      <c r="D451" s="8">
        <f>10.0888 * CHOOSE( CONTROL!$C$12, $D$11, 100%, $F$11)</f>
        <v>10.088800000000001</v>
      </c>
      <c r="E451" s="12">
        <f>10.0951 * CHOOSE( CONTROL!$C$12, $D$11, 100%, $F$11)</f>
        <v>10.0951</v>
      </c>
      <c r="F451" s="4">
        <f>11.0975 * CHOOSE(CONTROL!$C$12, $D$11, 100%, $F$11)</f>
        <v>11.0975</v>
      </c>
      <c r="G451" s="8">
        <f>9.8506 * CHOOSE( CONTROL!$C$12, $D$11, 100%, $F$11)</f>
        <v>9.8506</v>
      </c>
      <c r="H451" s="4">
        <f>10.7412 * CHOOSE(CONTROL!$C$12, $D$11, 100%, $F$11)</f>
        <v>10.741199999999999</v>
      </c>
      <c r="I451" s="8">
        <f>9.7347 * CHOOSE(CONTROL!$C$12, $D$11, 100%, $F$11)</f>
        <v>9.7347000000000001</v>
      </c>
      <c r="J451" s="4">
        <f>9.6717 * CHOOSE(CONTROL!$C$12, $D$11, 100%, $F$11)</f>
        <v>9.6716999999999995</v>
      </c>
      <c r="K451" s="4"/>
      <c r="L451" s="9">
        <v>27.3993</v>
      </c>
      <c r="M451" s="9">
        <v>12.063700000000001</v>
      </c>
      <c r="N451" s="9">
        <v>4.9444999999999997</v>
      </c>
      <c r="O451" s="9">
        <v>0.37459999999999999</v>
      </c>
      <c r="P451" s="9">
        <v>1.2939000000000001</v>
      </c>
      <c r="Q451" s="9">
        <v>19.942900000000002</v>
      </c>
      <c r="R451" s="9"/>
      <c r="S451" s="11"/>
    </row>
    <row r="452" spans="1:19" ht="15.75">
      <c r="A452" s="13">
        <v>55639</v>
      </c>
      <c r="B452" s="8">
        <f>10.252 * CHOOSE(CONTROL!$C$12, $D$11, 100%, $F$11)</f>
        <v>10.252000000000001</v>
      </c>
      <c r="C452" s="8">
        <f>10.2624 * CHOOSE(CONTROL!$C$12, $D$11, 100%, $F$11)</f>
        <v>10.2624</v>
      </c>
      <c r="D452" s="8">
        <f>10.2656 * CHOOSE( CONTROL!$C$12, $D$11, 100%, $F$11)</f>
        <v>10.265599999999999</v>
      </c>
      <c r="E452" s="12">
        <f>10.2634 * CHOOSE( CONTROL!$C$12, $D$11, 100%, $F$11)</f>
        <v>10.263400000000001</v>
      </c>
      <c r="F452" s="4">
        <f>11.2592 * CHOOSE(CONTROL!$C$12, $D$11, 100%, $F$11)</f>
        <v>11.2592</v>
      </c>
      <c r="G452" s="8">
        <f>9.9881 * CHOOSE( CONTROL!$C$12, $D$11, 100%, $F$11)</f>
        <v>9.9880999999999993</v>
      </c>
      <c r="H452" s="4">
        <f>10.8989 * CHOOSE(CONTROL!$C$12, $D$11, 100%, $F$11)</f>
        <v>10.898899999999999</v>
      </c>
      <c r="I452" s="8">
        <f>9.8718 * CHOOSE(CONTROL!$C$12, $D$11, 100%, $F$11)</f>
        <v>9.8718000000000004</v>
      </c>
      <c r="J452" s="4">
        <f>9.8187 * CHOOSE(CONTROL!$C$12, $D$11, 100%, $F$11)</f>
        <v>9.8186999999999998</v>
      </c>
      <c r="K452" s="4"/>
      <c r="L452" s="9">
        <v>27.988800000000001</v>
      </c>
      <c r="M452" s="9">
        <v>11.6745</v>
      </c>
      <c r="N452" s="9">
        <v>4.7850000000000001</v>
      </c>
      <c r="O452" s="9">
        <v>0.36249999999999999</v>
      </c>
      <c r="P452" s="9">
        <v>1.1798</v>
      </c>
      <c r="Q452" s="9">
        <v>19.299600000000002</v>
      </c>
      <c r="R452" s="9"/>
      <c r="S452" s="11"/>
    </row>
    <row r="453" spans="1:19" ht="15.75">
      <c r="A453" s="13">
        <v>55670</v>
      </c>
      <c r="B453" s="8">
        <f>CHOOSE( CONTROL!$C$29, 10.5293, 10.525) * CHOOSE(CONTROL!$C$12, $D$11, 100%, $F$11)</f>
        <v>10.529299999999999</v>
      </c>
      <c r="C453" s="8">
        <f>CHOOSE( CONTROL!$C$29, 10.5397, 10.5354) * CHOOSE(CONTROL!$C$12, $D$11, 100%, $F$11)</f>
        <v>10.5397</v>
      </c>
      <c r="D453" s="8">
        <f>CHOOSE( CONTROL!$C$29, 10.5176, 10.5134) * CHOOSE( CONTROL!$C$12, $D$11, 100%, $F$11)</f>
        <v>10.5176</v>
      </c>
      <c r="E453" s="12">
        <f>CHOOSE( CONTROL!$C$29, 10.524, 10.5198) * CHOOSE( CONTROL!$C$12, $D$11, 100%, $F$11)</f>
        <v>10.523999999999999</v>
      </c>
      <c r="F453" s="4">
        <f>CHOOSE( CONTROL!$C$29, 11.5042, 11.4999) * CHOOSE(CONTROL!$C$12, $D$11, 100%, $F$11)</f>
        <v>11.504200000000001</v>
      </c>
      <c r="G453" s="8">
        <f>CHOOSE( CONTROL!$C$29, 10.2396, 10.2354) * CHOOSE( CONTROL!$C$12, $D$11, 100%, $F$11)</f>
        <v>10.239599999999999</v>
      </c>
      <c r="H453" s="4">
        <f>CHOOSE( CONTROL!$C$29, 11.1377, 11.1335) * CHOOSE(CONTROL!$C$12, $D$11, 100%, $F$11)</f>
        <v>11.137700000000001</v>
      </c>
      <c r="I453" s="8">
        <f>CHOOSE( CONTROL!$C$29, 10.1161, 10.112) * CHOOSE(CONTROL!$C$12, $D$11, 100%, $F$11)</f>
        <v>10.116099999999999</v>
      </c>
      <c r="J453" s="4">
        <f>CHOOSE( CONTROL!$C$29, 10.0844, 10.0803) * CHOOSE(CONTROL!$C$12, $D$11, 100%, $F$11)</f>
        <v>10.0844</v>
      </c>
      <c r="K453" s="4"/>
      <c r="L453" s="9">
        <v>29.520499999999998</v>
      </c>
      <c r="M453" s="9">
        <v>12.063700000000001</v>
      </c>
      <c r="N453" s="9">
        <v>4.9444999999999997</v>
      </c>
      <c r="O453" s="9">
        <v>0.37459999999999999</v>
      </c>
      <c r="P453" s="9">
        <v>1.2192000000000001</v>
      </c>
      <c r="Q453" s="9">
        <v>19.942900000000002</v>
      </c>
      <c r="R453" s="9"/>
      <c r="S453" s="11"/>
    </row>
    <row r="454" spans="1:19" ht="15.75">
      <c r="A454" s="13">
        <v>55700</v>
      </c>
      <c r="B454" s="8">
        <f>CHOOSE( CONTROL!$C$29, 10.3601, 10.3559) * CHOOSE(CONTROL!$C$12, $D$11, 100%, $F$11)</f>
        <v>10.360099999999999</v>
      </c>
      <c r="C454" s="8">
        <f>CHOOSE( CONTROL!$C$29, 10.3706, 10.3663) * CHOOSE(CONTROL!$C$12, $D$11, 100%, $F$11)</f>
        <v>10.3706</v>
      </c>
      <c r="D454" s="8">
        <f>CHOOSE( CONTROL!$C$29, 10.3429, 10.3386) * CHOOSE( CONTROL!$C$12, $D$11, 100%, $F$11)</f>
        <v>10.3429</v>
      </c>
      <c r="E454" s="12">
        <f>CHOOSE( CONTROL!$C$29, 10.3513, 10.3471) * CHOOSE( CONTROL!$C$12, $D$11, 100%, $F$11)</f>
        <v>10.3513</v>
      </c>
      <c r="F454" s="4">
        <f>CHOOSE( CONTROL!$C$29, 11.3246, 11.3203) * CHOOSE(CONTROL!$C$12, $D$11, 100%, $F$11)</f>
        <v>11.3246</v>
      </c>
      <c r="G454" s="8">
        <f>CHOOSE( CONTROL!$C$29, 10.0734, 10.0693) * CHOOSE( CONTROL!$C$12, $D$11, 100%, $F$11)</f>
        <v>10.073399999999999</v>
      </c>
      <c r="H454" s="4">
        <f>CHOOSE( CONTROL!$C$29, 10.9626, 10.9585) * CHOOSE(CONTROL!$C$12, $D$11, 100%, $F$11)</f>
        <v>10.9626</v>
      </c>
      <c r="I454" s="8">
        <f>CHOOSE( CONTROL!$C$29, 9.9561, 9.9521) * CHOOSE(CONTROL!$C$12, $D$11, 100%, $F$11)</f>
        <v>9.9560999999999993</v>
      </c>
      <c r="J454" s="4">
        <f>CHOOSE( CONTROL!$C$29, 9.9223, 9.9182) * CHOOSE(CONTROL!$C$12, $D$11, 100%, $F$11)</f>
        <v>9.9222999999999999</v>
      </c>
      <c r="K454" s="4"/>
      <c r="L454" s="9">
        <v>28.568200000000001</v>
      </c>
      <c r="M454" s="9">
        <v>11.6745</v>
      </c>
      <c r="N454" s="9">
        <v>4.7850000000000001</v>
      </c>
      <c r="O454" s="9">
        <v>0.36249999999999999</v>
      </c>
      <c r="P454" s="9">
        <v>1.1798</v>
      </c>
      <c r="Q454" s="9">
        <v>19.299600000000002</v>
      </c>
      <c r="R454" s="9"/>
      <c r="S454" s="11"/>
    </row>
    <row r="455" spans="1:19" ht="15.75">
      <c r="A455" s="13">
        <v>55731</v>
      </c>
      <c r="B455" s="8">
        <f>CHOOSE( CONTROL!$C$29, 10.8055, 10.8013) * CHOOSE(CONTROL!$C$12, $D$11, 100%, $F$11)</f>
        <v>10.8055</v>
      </c>
      <c r="C455" s="8">
        <f>CHOOSE( CONTROL!$C$29, 10.816, 10.8117) * CHOOSE(CONTROL!$C$12, $D$11, 100%, $F$11)</f>
        <v>10.816000000000001</v>
      </c>
      <c r="D455" s="8">
        <f>CHOOSE( CONTROL!$C$29, 10.8221, 10.8178) * CHOOSE( CONTROL!$C$12, $D$11, 100%, $F$11)</f>
        <v>10.822100000000001</v>
      </c>
      <c r="E455" s="12">
        <f>CHOOSE( CONTROL!$C$29, 10.8183, 10.814) * CHOOSE( CONTROL!$C$12, $D$11, 100%, $F$11)</f>
        <v>10.818300000000001</v>
      </c>
      <c r="F455" s="4">
        <f>CHOOSE( CONTROL!$C$29, 11.8154, 11.8111) * CHOOSE(CONTROL!$C$12, $D$11, 100%, $F$11)</f>
        <v>11.8154</v>
      </c>
      <c r="G455" s="8">
        <f>CHOOSE( CONTROL!$C$29, 10.5337, 10.5295) * CHOOSE( CONTROL!$C$12, $D$11, 100%, $F$11)</f>
        <v>10.5337</v>
      </c>
      <c r="H455" s="4">
        <f>CHOOSE( CONTROL!$C$29, 11.4411, 11.4369) * CHOOSE(CONTROL!$C$12, $D$11, 100%, $F$11)</f>
        <v>11.4411</v>
      </c>
      <c r="I455" s="8">
        <f>CHOOSE( CONTROL!$C$29, 10.4384, 10.4344) * CHOOSE(CONTROL!$C$12, $D$11, 100%, $F$11)</f>
        <v>10.4384</v>
      </c>
      <c r="J455" s="4">
        <f>CHOOSE( CONTROL!$C$29, 10.3491, 10.345) * CHOOSE(CONTROL!$C$12, $D$11, 100%, $F$11)</f>
        <v>10.3491</v>
      </c>
      <c r="K455" s="4"/>
      <c r="L455" s="9">
        <v>29.520499999999998</v>
      </c>
      <c r="M455" s="9">
        <v>12.063700000000001</v>
      </c>
      <c r="N455" s="9">
        <v>4.9444999999999997</v>
      </c>
      <c r="O455" s="9">
        <v>0.37459999999999999</v>
      </c>
      <c r="P455" s="9">
        <v>1.2192000000000001</v>
      </c>
      <c r="Q455" s="9">
        <v>19.942900000000002</v>
      </c>
      <c r="R455" s="9"/>
      <c r="S455" s="11"/>
    </row>
    <row r="456" spans="1:19" ht="15.75">
      <c r="A456" s="13">
        <v>55762</v>
      </c>
      <c r="B456" s="8">
        <f>CHOOSE( CONTROL!$C$29, 9.9721, 9.9679) * CHOOSE(CONTROL!$C$12, $D$11, 100%, $F$11)</f>
        <v>9.9720999999999993</v>
      </c>
      <c r="C456" s="8">
        <f>CHOOSE( CONTROL!$C$29, 9.9826, 9.9783) * CHOOSE(CONTROL!$C$12, $D$11, 100%, $F$11)</f>
        <v>9.9825999999999997</v>
      </c>
      <c r="D456" s="8">
        <f>CHOOSE( CONTROL!$C$29, 10.0052, 10.0009) * CHOOSE( CONTROL!$C$12, $D$11, 100%, $F$11)</f>
        <v>10.0052</v>
      </c>
      <c r="E456" s="12">
        <f>CHOOSE( CONTROL!$C$29, 9.9954, 9.9911) * CHOOSE( CONTROL!$C$12, $D$11, 100%, $F$11)</f>
        <v>9.9954000000000001</v>
      </c>
      <c r="F456" s="4">
        <f>CHOOSE( CONTROL!$C$29, 11.0107, 11.0064) * CHOOSE(CONTROL!$C$12, $D$11, 100%, $F$11)</f>
        <v>11.0107</v>
      </c>
      <c r="G456" s="8">
        <f>CHOOSE( CONTROL!$C$29, 9.7269, 9.7228) * CHOOSE( CONTROL!$C$12, $D$11, 100%, $F$11)</f>
        <v>9.7269000000000005</v>
      </c>
      <c r="H456" s="4">
        <f>CHOOSE( CONTROL!$C$29, 10.6567, 10.6525) * CHOOSE(CONTROL!$C$12, $D$11, 100%, $F$11)</f>
        <v>10.656700000000001</v>
      </c>
      <c r="I456" s="8">
        <f>CHOOSE( CONTROL!$C$29, 9.6309, 9.6269) * CHOOSE(CONTROL!$C$12, $D$11, 100%, $F$11)</f>
        <v>9.6309000000000005</v>
      </c>
      <c r="J456" s="4">
        <f>CHOOSE( CONTROL!$C$29, 9.5505, 9.5465) * CHOOSE(CONTROL!$C$12, $D$11, 100%, $F$11)</f>
        <v>9.5504999999999995</v>
      </c>
      <c r="K456" s="4"/>
      <c r="L456" s="9">
        <v>29.520499999999998</v>
      </c>
      <c r="M456" s="9">
        <v>12.063700000000001</v>
      </c>
      <c r="N456" s="9">
        <v>4.9444999999999997</v>
      </c>
      <c r="O456" s="9">
        <v>0.37459999999999999</v>
      </c>
      <c r="P456" s="9">
        <v>1.2192000000000001</v>
      </c>
      <c r="Q456" s="9">
        <v>19.942900000000002</v>
      </c>
      <c r="R456" s="9"/>
      <c r="S456" s="11"/>
    </row>
    <row r="457" spans="1:19" ht="15.75">
      <c r="A457" s="13">
        <v>55792</v>
      </c>
      <c r="B457" s="8">
        <f>CHOOSE( CONTROL!$C$29, 9.7634, 9.7592) * CHOOSE(CONTROL!$C$12, $D$11, 100%, $F$11)</f>
        <v>9.7634000000000007</v>
      </c>
      <c r="C457" s="8">
        <f>CHOOSE( CONTROL!$C$29, 9.7739, 9.7696) * CHOOSE(CONTROL!$C$12, $D$11, 100%, $F$11)</f>
        <v>9.7738999999999994</v>
      </c>
      <c r="D457" s="8">
        <f>CHOOSE( CONTROL!$C$29, 9.7964, 9.7922) * CHOOSE( CONTROL!$C$12, $D$11, 100%, $F$11)</f>
        <v>9.7964000000000002</v>
      </c>
      <c r="E457" s="12">
        <f>CHOOSE( CONTROL!$C$29, 9.7866, 9.7824) * CHOOSE( CONTROL!$C$12, $D$11, 100%, $F$11)</f>
        <v>9.7866</v>
      </c>
      <c r="F457" s="4">
        <f>CHOOSE( CONTROL!$C$29, 10.802, 10.7978) * CHOOSE(CONTROL!$C$12, $D$11, 100%, $F$11)</f>
        <v>10.802</v>
      </c>
      <c r="G457" s="8">
        <f>CHOOSE( CONTROL!$C$29, 9.5231, 9.519) * CHOOSE( CONTROL!$C$12, $D$11, 100%, $F$11)</f>
        <v>9.5230999999999995</v>
      </c>
      <c r="H457" s="4">
        <f>CHOOSE( CONTROL!$C$29, 10.4532, 10.4491) * CHOOSE(CONTROL!$C$12, $D$11, 100%, $F$11)</f>
        <v>10.453200000000001</v>
      </c>
      <c r="I457" s="8">
        <f>CHOOSE( CONTROL!$C$29, 9.4291, 9.4251) * CHOOSE(CONTROL!$C$12, $D$11, 100%, $F$11)</f>
        <v>9.4291</v>
      </c>
      <c r="J457" s="4">
        <f>CHOOSE( CONTROL!$C$29, 9.3506, 9.3465) * CHOOSE(CONTROL!$C$12, $D$11, 100%, $F$11)</f>
        <v>9.3506</v>
      </c>
      <c r="K457" s="4"/>
      <c r="L457" s="9">
        <v>28.568200000000001</v>
      </c>
      <c r="M457" s="9">
        <v>11.6745</v>
      </c>
      <c r="N457" s="9">
        <v>4.7850000000000001</v>
      </c>
      <c r="O457" s="9">
        <v>0.36249999999999999</v>
      </c>
      <c r="P457" s="9">
        <v>1.1798</v>
      </c>
      <c r="Q457" s="9">
        <v>19.299600000000002</v>
      </c>
      <c r="R457" s="9"/>
      <c r="S457" s="11"/>
    </row>
    <row r="458" spans="1:19" ht="15.75">
      <c r="A458" s="13">
        <v>55823</v>
      </c>
      <c r="B458" s="8">
        <f>10.1925 * CHOOSE(CONTROL!$C$12, $D$11, 100%, $F$11)</f>
        <v>10.192500000000001</v>
      </c>
      <c r="C458" s="8">
        <f>10.2029 * CHOOSE(CONTROL!$C$12, $D$11, 100%, $F$11)</f>
        <v>10.2029</v>
      </c>
      <c r="D458" s="8">
        <f>10.2074 * CHOOSE( CONTROL!$C$12, $D$11, 100%, $F$11)</f>
        <v>10.2074</v>
      </c>
      <c r="E458" s="12">
        <f>10.2048 * CHOOSE( CONTROL!$C$12, $D$11, 100%, $F$11)</f>
        <v>10.204800000000001</v>
      </c>
      <c r="F458" s="4">
        <f>11.1998 * CHOOSE(CONTROL!$C$12, $D$11, 100%, $F$11)</f>
        <v>11.1998</v>
      </c>
      <c r="G458" s="8">
        <f>9.9317 * CHOOSE( CONTROL!$C$12, $D$11, 100%, $F$11)</f>
        <v>9.9316999999999993</v>
      </c>
      <c r="H458" s="4">
        <f>10.841 * CHOOSE(CONTROL!$C$12, $D$11, 100%, $F$11)</f>
        <v>10.840999999999999</v>
      </c>
      <c r="I458" s="8">
        <f>9.8371 * CHOOSE(CONTROL!$C$12, $D$11, 100%, $F$11)</f>
        <v>9.8370999999999995</v>
      </c>
      <c r="J458" s="4">
        <f>9.7617 * CHOOSE(CONTROL!$C$12, $D$11, 100%, $F$11)</f>
        <v>9.7616999999999994</v>
      </c>
      <c r="K458" s="4"/>
      <c r="L458" s="9">
        <v>28.921800000000001</v>
      </c>
      <c r="M458" s="9">
        <v>12.063700000000001</v>
      </c>
      <c r="N458" s="9">
        <v>4.9444999999999997</v>
      </c>
      <c r="O458" s="9">
        <v>0.37459999999999999</v>
      </c>
      <c r="P458" s="9">
        <v>1.2192000000000001</v>
      </c>
      <c r="Q458" s="9">
        <v>19.942900000000002</v>
      </c>
      <c r="R458" s="9"/>
      <c r="S458" s="11"/>
    </row>
    <row r="459" spans="1:19" ht="15.75">
      <c r="A459" s="13">
        <v>55853</v>
      </c>
      <c r="B459" s="8">
        <f>10.9923 * CHOOSE(CONTROL!$C$12, $D$11, 100%, $F$11)</f>
        <v>10.9923</v>
      </c>
      <c r="C459" s="8">
        <f>11.0028 * CHOOSE(CONTROL!$C$12, $D$11, 100%, $F$11)</f>
        <v>11.002800000000001</v>
      </c>
      <c r="D459" s="8">
        <f>10.9851 * CHOOSE( CONTROL!$C$12, $D$11, 100%, $F$11)</f>
        <v>10.985099999999999</v>
      </c>
      <c r="E459" s="12">
        <f>10.9905 * CHOOSE( CONTROL!$C$12, $D$11, 100%, $F$11)</f>
        <v>10.990500000000001</v>
      </c>
      <c r="F459" s="4">
        <f>11.9865 * CHOOSE(CONTROL!$C$12, $D$11, 100%, $F$11)</f>
        <v>11.986499999999999</v>
      </c>
      <c r="G459" s="8">
        <f>10.7238 * CHOOSE( CONTROL!$C$12, $D$11, 100%, $F$11)</f>
        <v>10.723800000000001</v>
      </c>
      <c r="H459" s="4">
        <f>11.6079 * CHOOSE(CONTROL!$C$12, $D$11, 100%, $F$11)</f>
        <v>11.607900000000001</v>
      </c>
      <c r="I459" s="8">
        <f>10.6273 * CHOOSE(CONTROL!$C$12, $D$11, 100%, $F$11)</f>
        <v>10.6273</v>
      </c>
      <c r="J459" s="4">
        <f>10.5281 * CHOOSE(CONTROL!$C$12, $D$11, 100%, $F$11)</f>
        <v>10.5281</v>
      </c>
      <c r="K459" s="4"/>
      <c r="L459" s="9">
        <v>26.515499999999999</v>
      </c>
      <c r="M459" s="9">
        <v>11.6745</v>
      </c>
      <c r="N459" s="9">
        <v>4.7850000000000001</v>
      </c>
      <c r="O459" s="9">
        <v>0.36249999999999999</v>
      </c>
      <c r="P459" s="9">
        <v>1.2522</v>
      </c>
      <c r="Q459" s="9">
        <v>19.299600000000002</v>
      </c>
      <c r="R459" s="9"/>
      <c r="S459" s="11"/>
    </row>
    <row r="460" spans="1:19" ht="15.75">
      <c r="A460" s="13">
        <v>55884</v>
      </c>
      <c r="B460" s="8">
        <f>10.9723 * CHOOSE(CONTROL!$C$12, $D$11, 100%, $F$11)</f>
        <v>10.972300000000001</v>
      </c>
      <c r="C460" s="8">
        <f>10.9828 * CHOOSE(CONTROL!$C$12, $D$11, 100%, $F$11)</f>
        <v>10.982799999999999</v>
      </c>
      <c r="D460" s="8">
        <f>10.9672 * CHOOSE( CONTROL!$C$12, $D$11, 100%, $F$11)</f>
        <v>10.9672</v>
      </c>
      <c r="E460" s="12">
        <f>10.9718 * CHOOSE( CONTROL!$C$12, $D$11, 100%, $F$11)</f>
        <v>10.9718</v>
      </c>
      <c r="F460" s="4">
        <f>11.9665 * CHOOSE(CONTROL!$C$12, $D$11, 100%, $F$11)</f>
        <v>11.9665</v>
      </c>
      <c r="G460" s="8">
        <f>10.7058 * CHOOSE( CONTROL!$C$12, $D$11, 100%, $F$11)</f>
        <v>10.7058</v>
      </c>
      <c r="H460" s="4">
        <f>11.5884 * CHOOSE(CONTROL!$C$12, $D$11, 100%, $F$11)</f>
        <v>11.5884</v>
      </c>
      <c r="I460" s="8">
        <f>10.6154 * CHOOSE(CONTROL!$C$12, $D$11, 100%, $F$11)</f>
        <v>10.615399999999999</v>
      </c>
      <c r="J460" s="4">
        <f>10.5089 * CHOOSE(CONTROL!$C$12, $D$11, 100%, $F$11)</f>
        <v>10.508900000000001</v>
      </c>
      <c r="K460" s="4"/>
      <c r="L460" s="9">
        <v>27.3993</v>
      </c>
      <c r="M460" s="9">
        <v>12.063700000000001</v>
      </c>
      <c r="N460" s="9">
        <v>4.9444999999999997</v>
      </c>
      <c r="O460" s="9">
        <v>0.37459999999999999</v>
      </c>
      <c r="P460" s="9">
        <v>1.2939000000000001</v>
      </c>
      <c r="Q460" s="9">
        <v>19.942900000000002</v>
      </c>
      <c r="R460" s="9"/>
      <c r="S460" s="11"/>
    </row>
    <row r="461" spans="1:19" ht="15.75">
      <c r="A461" s="13">
        <v>55915</v>
      </c>
      <c r="B461" s="8">
        <f>11.3915 * CHOOSE(CONTROL!$C$12, $D$11, 100%, $F$11)</f>
        <v>11.391500000000001</v>
      </c>
      <c r="C461" s="8">
        <f>11.4019 * CHOOSE(CONTROL!$C$12, $D$11, 100%, $F$11)</f>
        <v>11.401899999999999</v>
      </c>
      <c r="D461" s="8">
        <f>11.3996 * CHOOSE( CONTROL!$C$12, $D$11, 100%, $F$11)</f>
        <v>11.3996</v>
      </c>
      <c r="E461" s="12">
        <f>11.3993 * CHOOSE( CONTROL!$C$12, $D$11, 100%, $F$11)</f>
        <v>11.3993</v>
      </c>
      <c r="F461" s="4">
        <f>12.4144 * CHOOSE(CONTROL!$C$12, $D$11, 100%, $F$11)</f>
        <v>12.414400000000001</v>
      </c>
      <c r="G461" s="8">
        <f>11.1316 * CHOOSE( CONTROL!$C$12, $D$11, 100%, $F$11)</f>
        <v>11.131600000000001</v>
      </c>
      <c r="H461" s="4">
        <f>12.025 * CHOOSE(CONTROL!$C$12, $D$11, 100%, $F$11)</f>
        <v>12.025</v>
      </c>
      <c r="I461" s="8">
        <f>11.0246 * CHOOSE(CONTROL!$C$12, $D$11, 100%, $F$11)</f>
        <v>11.0246</v>
      </c>
      <c r="J461" s="4">
        <f>10.9106 * CHOOSE(CONTROL!$C$12, $D$11, 100%, $F$11)</f>
        <v>10.910600000000001</v>
      </c>
      <c r="K461" s="4"/>
      <c r="L461" s="9">
        <v>27.3993</v>
      </c>
      <c r="M461" s="9">
        <v>12.063700000000001</v>
      </c>
      <c r="N461" s="9">
        <v>4.9444999999999997</v>
      </c>
      <c r="O461" s="9">
        <v>0.37459999999999999</v>
      </c>
      <c r="P461" s="9">
        <v>1.2939000000000001</v>
      </c>
      <c r="Q461" s="9">
        <v>19.877800000000001</v>
      </c>
      <c r="R461" s="9"/>
      <c r="S461" s="11"/>
    </row>
    <row r="462" spans="1:19" ht="15.75">
      <c r="A462" s="13">
        <v>55943</v>
      </c>
      <c r="B462" s="8">
        <f>10.6554 * CHOOSE(CONTROL!$C$12, $D$11, 100%, $F$11)</f>
        <v>10.6554</v>
      </c>
      <c r="C462" s="8">
        <f>10.6658 * CHOOSE(CONTROL!$C$12, $D$11, 100%, $F$11)</f>
        <v>10.665800000000001</v>
      </c>
      <c r="D462" s="8">
        <f>10.6658 * CHOOSE( CONTROL!$C$12, $D$11, 100%, $F$11)</f>
        <v>10.665800000000001</v>
      </c>
      <c r="E462" s="12">
        <f>10.6647 * CHOOSE( CONTROL!$C$12, $D$11, 100%, $F$11)</f>
        <v>10.6647</v>
      </c>
      <c r="F462" s="4">
        <f>11.6705 * CHOOSE(CONTROL!$C$12, $D$11, 100%, $F$11)</f>
        <v>11.670500000000001</v>
      </c>
      <c r="G462" s="8">
        <f>10.4139 * CHOOSE( CONTROL!$C$12, $D$11, 100%, $F$11)</f>
        <v>10.4139</v>
      </c>
      <c r="H462" s="4">
        <f>11.2998 * CHOOSE(CONTROL!$C$12, $D$11, 100%, $F$11)</f>
        <v>11.299799999999999</v>
      </c>
      <c r="I462" s="8">
        <f>10.308 * CHOOSE(CONTROL!$C$12, $D$11, 100%, $F$11)</f>
        <v>10.308</v>
      </c>
      <c r="J462" s="4">
        <f>10.2052 * CHOOSE(CONTROL!$C$12, $D$11, 100%, $F$11)</f>
        <v>10.2052</v>
      </c>
      <c r="K462" s="4"/>
      <c r="L462" s="9">
        <v>24.747800000000002</v>
      </c>
      <c r="M462" s="9">
        <v>10.8962</v>
      </c>
      <c r="N462" s="9">
        <v>4.4660000000000002</v>
      </c>
      <c r="O462" s="9">
        <v>0.33829999999999999</v>
      </c>
      <c r="P462" s="9">
        <v>1.1687000000000001</v>
      </c>
      <c r="Q462" s="9">
        <v>17.9542</v>
      </c>
      <c r="R462" s="9"/>
      <c r="S462" s="11"/>
    </row>
    <row r="463" spans="1:19" ht="15.75">
      <c r="A463" s="13">
        <v>55974</v>
      </c>
      <c r="B463" s="8">
        <f>10.4287 * CHOOSE(CONTROL!$C$12, $D$11, 100%, $F$11)</f>
        <v>10.428699999999999</v>
      </c>
      <c r="C463" s="8">
        <f>10.4391 * CHOOSE(CONTROL!$C$12, $D$11, 100%, $F$11)</f>
        <v>10.4391</v>
      </c>
      <c r="D463" s="8">
        <f>10.4189 * CHOOSE( CONTROL!$C$12, $D$11, 100%, $F$11)</f>
        <v>10.418900000000001</v>
      </c>
      <c r="E463" s="12">
        <f>10.4252 * CHOOSE( CONTROL!$C$12, $D$11, 100%, $F$11)</f>
        <v>10.4252</v>
      </c>
      <c r="F463" s="4">
        <f>11.4276 * CHOOSE(CONTROL!$C$12, $D$11, 100%, $F$11)</f>
        <v>11.4276</v>
      </c>
      <c r="G463" s="8">
        <f>10.1724 * CHOOSE( CONTROL!$C$12, $D$11, 100%, $F$11)</f>
        <v>10.1724</v>
      </c>
      <c r="H463" s="4">
        <f>11.063 * CHOOSE(CONTROL!$C$12, $D$11, 100%, $F$11)</f>
        <v>11.063000000000001</v>
      </c>
      <c r="I463" s="8">
        <f>10.0511 * CHOOSE(CONTROL!$C$12, $D$11, 100%, $F$11)</f>
        <v>10.0511</v>
      </c>
      <c r="J463" s="4">
        <f>9.988 * CHOOSE(CONTROL!$C$12, $D$11, 100%, $F$11)</f>
        <v>9.9879999999999995</v>
      </c>
      <c r="K463" s="4"/>
      <c r="L463" s="9">
        <v>27.3993</v>
      </c>
      <c r="M463" s="9">
        <v>12.063700000000001</v>
      </c>
      <c r="N463" s="9">
        <v>4.9444999999999997</v>
      </c>
      <c r="O463" s="9">
        <v>0.37459999999999999</v>
      </c>
      <c r="P463" s="9">
        <v>1.2939000000000001</v>
      </c>
      <c r="Q463" s="9">
        <v>19.877800000000001</v>
      </c>
      <c r="R463" s="9"/>
      <c r="S463" s="11"/>
    </row>
    <row r="464" spans="1:19" ht="15.75">
      <c r="A464" s="13">
        <v>56004</v>
      </c>
      <c r="B464" s="8">
        <f>10.5871 * CHOOSE(CONTROL!$C$12, $D$11, 100%, $F$11)</f>
        <v>10.5871</v>
      </c>
      <c r="C464" s="8">
        <f>10.5975 * CHOOSE(CONTROL!$C$12, $D$11, 100%, $F$11)</f>
        <v>10.5975</v>
      </c>
      <c r="D464" s="8">
        <f>10.6007 * CHOOSE( CONTROL!$C$12, $D$11, 100%, $F$11)</f>
        <v>10.6007</v>
      </c>
      <c r="E464" s="12">
        <f>10.5985 * CHOOSE( CONTROL!$C$12, $D$11, 100%, $F$11)</f>
        <v>10.5985</v>
      </c>
      <c r="F464" s="4">
        <f>11.5943 * CHOOSE(CONTROL!$C$12, $D$11, 100%, $F$11)</f>
        <v>11.5943</v>
      </c>
      <c r="G464" s="8">
        <f>10.3147 * CHOOSE( CONTROL!$C$12, $D$11, 100%, $F$11)</f>
        <v>10.3147</v>
      </c>
      <c r="H464" s="4">
        <f>11.2256 * CHOOSE(CONTROL!$C$12, $D$11, 100%, $F$11)</f>
        <v>11.2256</v>
      </c>
      <c r="I464" s="8">
        <f>10.1931 * CHOOSE(CONTROL!$C$12, $D$11, 100%, $F$11)</f>
        <v>10.193099999999999</v>
      </c>
      <c r="J464" s="4">
        <f>10.1398 * CHOOSE(CONTROL!$C$12, $D$11, 100%, $F$11)</f>
        <v>10.139799999999999</v>
      </c>
      <c r="K464" s="4"/>
      <c r="L464" s="9">
        <v>27.988800000000001</v>
      </c>
      <c r="M464" s="9">
        <v>11.6745</v>
      </c>
      <c r="N464" s="9">
        <v>4.7850000000000001</v>
      </c>
      <c r="O464" s="9">
        <v>0.36249999999999999</v>
      </c>
      <c r="P464" s="9">
        <v>1.1798</v>
      </c>
      <c r="Q464" s="9">
        <v>19.236599999999999</v>
      </c>
      <c r="R464" s="9"/>
      <c r="S464" s="11"/>
    </row>
    <row r="465" spans="1:19" ht="15.75">
      <c r="A465" s="13">
        <v>56035</v>
      </c>
      <c r="B465" s="8">
        <f>CHOOSE( CONTROL!$C$29, 10.8733, 10.8691) * CHOOSE(CONTROL!$C$12, $D$11, 100%, $F$11)</f>
        <v>10.8733</v>
      </c>
      <c r="C465" s="8">
        <f>CHOOSE( CONTROL!$C$29, 10.8837, 10.8795) * CHOOSE(CONTROL!$C$12, $D$11, 100%, $F$11)</f>
        <v>10.883699999999999</v>
      </c>
      <c r="D465" s="8">
        <f>CHOOSE( CONTROL!$C$29, 10.8617, 10.8574) * CHOOSE( CONTROL!$C$12, $D$11, 100%, $F$11)</f>
        <v>10.861700000000001</v>
      </c>
      <c r="E465" s="12">
        <f>CHOOSE( CONTROL!$C$29, 10.8681, 10.8638) * CHOOSE( CONTROL!$C$12, $D$11, 100%, $F$11)</f>
        <v>10.8681</v>
      </c>
      <c r="F465" s="4">
        <f>CHOOSE( CONTROL!$C$29, 11.8482, 11.844) * CHOOSE(CONTROL!$C$12, $D$11, 100%, $F$11)</f>
        <v>11.8482</v>
      </c>
      <c r="G465" s="8">
        <f>CHOOSE( CONTROL!$C$29, 10.5749, 10.5708) * CHOOSE( CONTROL!$C$12, $D$11, 100%, $F$11)</f>
        <v>10.5749</v>
      </c>
      <c r="H465" s="4">
        <f>CHOOSE( CONTROL!$C$29, 11.473, 11.4689) * CHOOSE(CONTROL!$C$12, $D$11, 100%, $F$11)</f>
        <v>11.473000000000001</v>
      </c>
      <c r="I465" s="8">
        <f>CHOOSE( CONTROL!$C$29, 10.4459, 10.4419) * CHOOSE(CONTROL!$C$12, $D$11, 100%, $F$11)</f>
        <v>10.4459</v>
      </c>
      <c r="J465" s="4">
        <f>CHOOSE( CONTROL!$C$29, 10.414, 10.41) * CHOOSE(CONTROL!$C$12, $D$11, 100%, $F$11)</f>
        <v>10.414</v>
      </c>
      <c r="K465" s="4"/>
      <c r="L465" s="9">
        <v>29.520499999999998</v>
      </c>
      <c r="M465" s="9">
        <v>12.063700000000001</v>
      </c>
      <c r="N465" s="9">
        <v>4.9444999999999997</v>
      </c>
      <c r="O465" s="9">
        <v>0.37459999999999999</v>
      </c>
      <c r="P465" s="9">
        <v>1.2192000000000001</v>
      </c>
      <c r="Q465" s="9">
        <v>19.877800000000001</v>
      </c>
      <c r="R465" s="9"/>
      <c r="S465" s="11"/>
    </row>
    <row r="466" spans="1:19" ht="15.75">
      <c r="A466" s="13">
        <v>56065</v>
      </c>
      <c r="B466" s="8">
        <f>CHOOSE( CONTROL!$C$29, 10.6986, 10.6944) * CHOOSE(CONTROL!$C$12, $D$11, 100%, $F$11)</f>
        <v>10.698600000000001</v>
      </c>
      <c r="C466" s="8">
        <f>CHOOSE( CONTROL!$C$29, 10.7091, 10.7048) * CHOOSE(CONTROL!$C$12, $D$11, 100%, $F$11)</f>
        <v>10.709099999999999</v>
      </c>
      <c r="D466" s="8">
        <f>CHOOSE( CONTROL!$C$29, 10.6814, 10.6772) * CHOOSE( CONTROL!$C$12, $D$11, 100%, $F$11)</f>
        <v>10.6814</v>
      </c>
      <c r="E466" s="12">
        <f>CHOOSE( CONTROL!$C$29, 10.6898, 10.6856) * CHOOSE( CONTROL!$C$12, $D$11, 100%, $F$11)</f>
        <v>10.6898</v>
      </c>
      <c r="F466" s="4">
        <f>CHOOSE( CONTROL!$C$29, 11.6631, 11.6589) * CHOOSE(CONTROL!$C$12, $D$11, 100%, $F$11)</f>
        <v>11.6631</v>
      </c>
      <c r="G466" s="8">
        <f>CHOOSE( CONTROL!$C$29, 10.4034, 10.3993) * CHOOSE( CONTROL!$C$12, $D$11, 100%, $F$11)</f>
        <v>10.4034</v>
      </c>
      <c r="H466" s="4">
        <f>CHOOSE( CONTROL!$C$29, 11.2926, 11.2885) * CHOOSE(CONTROL!$C$12, $D$11, 100%, $F$11)</f>
        <v>11.2926</v>
      </c>
      <c r="I466" s="8">
        <f>CHOOSE( CONTROL!$C$29, 10.2807, 10.2766) * CHOOSE(CONTROL!$C$12, $D$11, 100%, $F$11)</f>
        <v>10.2807</v>
      </c>
      <c r="J466" s="4">
        <f>CHOOSE( CONTROL!$C$29, 10.2467, 10.2426) * CHOOSE(CONTROL!$C$12, $D$11, 100%, $F$11)</f>
        <v>10.246700000000001</v>
      </c>
      <c r="K466" s="4"/>
      <c r="L466" s="9">
        <v>28.568200000000001</v>
      </c>
      <c r="M466" s="9">
        <v>11.6745</v>
      </c>
      <c r="N466" s="9">
        <v>4.7850000000000001</v>
      </c>
      <c r="O466" s="9">
        <v>0.36249999999999999</v>
      </c>
      <c r="P466" s="9">
        <v>1.1798</v>
      </c>
      <c r="Q466" s="9">
        <v>19.236599999999999</v>
      </c>
      <c r="R466" s="9"/>
      <c r="S466" s="11"/>
    </row>
    <row r="467" spans="1:19" ht="15.75">
      <c r="A467" s="13">
        <v>56096</v>
      </c>
      <c r="B467" s="8">
        <f>CHOOSE( CONTROL!$C$29, 11.1586, 11.1544) * CHOOSE(CONTROL!$C$12, $D$11, 100%, $F$11)</f>
        <v>11.1586</v>
      </c>
      <c r="C467" s="8">
        <f>CHOOSE( CONTROL!$C$29, 11.169, 11.1648) * CHOOSE(CONTROL!$C$12, $D$11, 100%, $F$11)</f>
        <v>11.169</v>
      </c>
      <c r="D467" s="8">
        <f>CHOOSE( CONTROL!$C$29, 11.1752, 11.1709) * CHOOSE( CONTROL!$C$12, $D$11, 100%, $F$11)</f>
        <v>11.1752</v>
      </c>
      <c r="E467" s="12">
        <f>CHOOSE( CONTROL!$C$29, 11.1714, 11.1671) * CHOOSE( CONTROL!$C$12, $D$11, 100%, $F$11)</f>
        <v>11.1714</v>
      </c>
      <c r="F467" s="4">
        <f>CHOOSE( CONTROL!$C$29, 12.1685, 12.1642) * CHOOSE(CONTROL!$C$12, $D$11, 100%, $F$11)</f>
        <v>12.1685</v>
      </c>
      <c r="G467" s="8">
        <f>CHOOSE( CONTROL!$C$29, 10.8778, 10.8737) * CHOOSE( CONTROL!$C$12, $D$11, 100%, $F$11)</f>
        <v>10.877800000000001</v>
      </c>
      <c r="H467" s="4">
        <f>CHOOSE( CONTROL!$C$29, 11.7852, 11.7811) * CHOOSE(CONTROL!$C$12, $D$11, 100%, $F$11)</f>
        <v>11.7852</v>
      </c>
      <c r="I467" s="8">
        <f>CHOOSE( CONTROL!$C$29, 10.7769, 10.7728) * CHOOSE(CONTROL!$C$12, $D$11, 100%, $F$11)</f>
        <v>10.776899999999999</v>
      </c>
      <c r="J467" s="4">
        <f>CHOOSE( CONTROL!$C$29, 10.6874, 10.6833) * CHOOSE(CONTROL!$C$12, $D$11, 100%, $F$11)</f>
        <v>10.6874</v>
      </c>
      <c r="K467" s="4"/>
      <c r="L467" s="9">
        <v>29.520499999999998</v>
      </c>
      <c r="M467" s="9">
        <v>12.063700000000001</v>
      </c>
      <c r="N467" s="9">
        <v>4.9444999999999997</v>
      </c>
      <c r="O467" s="9">
        <v>0.37459999999999999</v>
      </c>
      <c r="P467" s="9">
        <v>1.2192000000000001</v>
      </c>
      <c r="Q467" s="9">
        <v>19.877800000000001</v>
      </c>
      <c r="R467" s="9"/>
      <c r="S467" s="11"/>
    </row>
    <row r="468" spans="1:19" ht="15.75">
      <c r="A468" s="13">
        <v>56127</v>
      </c>
      <c r="B468" s="8">
        <f>CHOOSE( CONTROL!$C$29, 10.2979, 10.2937) * CHOOSE(CONTROL!$C$12, $D$11, 100%, $F$11)</f>
        <v>10.2979</v>
      </c>
      <c r="C468" s="8">
        <f>CHOOSE( CONTROL!$C$29, 10.3084, 10.3041) * CHOOSE(CONTROL!$C$12, $D$11, 100%, $F$11)</f>
        <v>10.308400000000001</v>
      </c>
      <c r="D468" s="8">
        <f>CHOOSE( CONTROL!$C$29, 10.331, 10.3267) * CHOOSE( CONTROL!$C$12, $D$11, 100%, $F$11)</f>
        <v>10.331</v>
      </c>
      <c r="E468" s="12">
        <f>CHOOSE( CONTROL!$C$29, 10.3212, 10.3169) * CHOOSE( CONTROL!$C$12, $D$11, 100%, $F$11)</f>
        <v>10.321199999999999</v>
      </c>
      <c r="F468" s="4">
        <f>CHOOSE( CONTROL!$C$29, 11.3365, 11.3323) * CHOOSE(CONTROL!$C$12, $D$11, 100%, $F$11)</f>
        <v>11.336499999999999</v>
      </c>
      <c r="G468" s="8">
        <f>CHOOSE( CONTROL!$C$29, 10.0445, 10.0404) * CHOOSE( CONTROL!$C$12, $D$11, 100%, $F$11)</f>
        <v>10.044499999999999</v>
      </c>
      <c r="H468" s="4">
        <f>CHOOSE( CONTROL!$C$29, 10.9743, 10.9701) * CHOOSE(CONTROL!$C$12, $D$11, 100%, $F$11)</f>
        <v>10.974299999999999</v>
      </c>
      <c r="I468" s="8">
        <f>CHOOSE( CONTROL!$C$29, 9.9433, 9.9392) * CHOOSE(CONTROL!$C$12, $D$11, 100%, $F$11)</f>
        <v>9.9433000000000007</v>
      </c>
      <c r="J468" s="4">
        <f>CHOOSE( CONTROL!$C$29, 9.8627, 9.8587) * CHOOSE(CONTROL!$C$12, $D$11, 100%, $F$11)</f>
        <v>9.8627000000000002</v>
      </c>
      <c r="K468" s="4"/>
      <c r="L468" s="9">
        <v>29.520499999999998</v>
      </c>
      <c r="M468" s="9">
        <v>12.063700000000001</v>
      </c>
      <c r="N468" s="9">
        <v>4.9444999999999997</v>
      </c>
      <c r="O468" s="9">
        <v>0.37459999999999999</v>
      </c>
      <c r="P468" s="9">
        <v>1.2192000000000001</v>
      </c>
      <c r="Q468" s="9">
        <v>19.877800000000001</v>
      </c>
      <c r="R468" s="9"/>
      <c r="S468" s="11"/>
    </row>
    <row r="469" spans="1:19" ht="15.75">
      <c r="A469" s="13">
        <v>56157</v>
      </c>
      <c r="B469" s="8">
        <f>CHOOSE( CONTROL!$C$29, 10.0824, 10.0782) * CHOOSE(CONTROL!$C$12, $D$11, 100%, $F$11)</f>
        <v>10.0824</v>
      </c>
      <c r="C469" s="8">
        <f>CHOOSE( CONTROL!$C$29, 10.0929, 10.0886) * CHOOSE(CONTROL!$C$12, $D$11, 100%, $F$11)</f>
        <v>10.0929</v>
      </c>
      <c r="D469" s="8">
        <f>CHOOSE( CONTROL!$C$29, 10.1154, 10.1112) * CHOOSE( CONTROL!$C$12, $D$11, 100%, $F$11)</f>
        <v>10.115399999999999</v>
      </c>
      <c r="E469" s="12">
        <f>CHOOSE( CONTROL!$C$29, 10.1056, 10.1014) * CHOOSE( CONTROL!$C$12, $D$11, 100%, $F$11)</f>
        <v>10.105600000000001</v>
      </c>
      <c r="F469" s="4">
        <f>CHOOSE( CONTROL!$C$29, 11.121, 11.1168) * CHOOSE(CONTROL!$C$12, $D$11, 100%, $F$11)</f>
        <v>11.121</v>
      </c>
      <c r="G469" s="8">
        <f>CHOOSE( CONTROL!$C$29, 9.8341, 9.83) * CHOOSE( CONTROL!$C$12, $D$11, 100%, $F$11)</f>
        <v>9.8340999999999994</v>
      </c>
      <c r="H469" s="4">
        <f>CHOOSE( CONTROL!$C$29, 10.7642, 10.76) * CHOOSE(CONTROL!$C$12, $D$11, 100%, $F$11)</f>
        <v>10.764200000000001</v>
      </c>
      <c r="I469" s="8">
        <f>CHOOSE( CONTROL!$C$29, 9.735, 9.7309) * CHOOSE(CONTROL!$C$12, $D$11, 100%, $F$11)</f>
        <v>9.7349999999999994</v>
      </c>
      <c r="J469" s="4">
        <f>CHOOSE( CONTROL!$C$29, 9.6562, 9.6522) * CHOOSE(CONTROL!$C$12, $D$11, 100%, $F$11)</f>
        <v>9.6562000000000001</v>
      </c>
      <c r="K469" s="4"/>
      <c r="L469" s="9">
        <v>28.568200000000001</v>
      </c>
      <c r="M469" s="9">
        <v>11.6745</v>
      </c>
      <c r="N469" s="9">
        <v>4.7850000000000001</v>
      </c>
      <c r="O469" s="9">
        <v>0.36249999999999999</v>
      </c>
      <c r="P469" s="9">
        <v>1.1798</v>
      </c>
      <c r="Q469" s="9">
        <v>19.236599999999999</v>
      </c>
      <c r="R469" s="9"/>
      <c r="S469" s="11"/>
    </row>
    <row r="470" spans="1:19" ht="15.75">
      <c r="A470" s="13">
        <v>56188</v>
      </c>
      <c r="B470" s="8">
        <f>10.5257 * CHOOSE(CONTROL!$C$12, $D$11, 100%, $F$11)</f>
        <v>10.525700000000001</v>
      </c>
      <c r="C470" s="8">
        <f>10.5361 * CHOOSE(CONTROL!$C$12, $D$11, 100%, $F$11)</f>
        <v>10.536099999999999</v>
      </c>
      <c r="D470" s="8">
        <f>10.5405 * CHOOSE( CONTROL!$C$12, $D$11, 100%, $F$11)</f>
        <v>10.5405</v>
      </c>
      <c r="E470" s="12">
        <f>10.5379 * CHOOSE( CONTROL!$C$12, $D$11, 100%, $F$11)</f>
        <v>10.5379</v>
      </c>
      <c r="F470" s="4">
        <f>11.5329 * CHOOSE(CONTROL!$C$12, $D$11, 100%, $F$11)</f>
        <v>11.5329</v>
      </c>
      <c r="G470" s="8">
        <f>10.2564 * CHOOSE( CONTROL!$C$12, $D$11, 100%, $F$11)</f>
        <v>10.256399999999999</v>
      </c>
      <c r="H470" s="4">
        <f>11.1657 * CHOOSE(CONTROL!$C$12, $D$11, 100%, $F$11)</f>
        <v>11.165699999999999</v>
      </c>
      <c r="I470" s="8">
        <f>10.1565 * CHOOSE(CONTROL!$C$12, $D$11, 100%, $F$11)</f>
        <v>10.156499999999999</v>
      </c>
      <c r="J470" s="4">
        <f>10.0809 * CHOOSE(CONTROL!$C$12, $D$11, 100%, $F$11)</f>
        <v>10.0809</v>
      </c>
      <c r="K470" s="4"/>
      <c r="L470" s="9">
        <v>28.921800000000001</v>
      </c>
      <c r="M470" s="9">
        <v>12.063700000000001</v>
      </c>
      <c r="N470" s="9">
        <v>4.9444999999999997</v>
      </c>
      <c r="O470" s="9">
        <v>0.37459999999999999</v>
      </c>
      <c r="P470" s="9">
        <v>1.2192000000000001</v>
      </c>
      <c r="Q470" s="9">
        <v>19.877800000000001</v>
      </c>
      <c r="R470" s="9"/>
      <c r="S470" s="11"/>
    </row>
    <row r="471" spans="1:19" ht="15.75">
      <c r="A471" s="13">
        <v>56218</v>
      </c>
      <c r="B471" s="8">
        <f>11.3516 * CHOOSE(CONTROL!$C$12, $D$11, 100%, $F$11)</f>
        <v>11.351599999999999</v>
      </c>
      <c r="C471" s="8">
        <f>11.3621 * CHOOSE(CONTROL!$C$12, $D$11, 100%, $F$11)</f>
        <v>11.3621</v>
      </c>
      <c r="D471" s="8">
        <f>11.3445 * CHOOSE( CONTROL!$C$12, $D$11, 100%, $F$11)</f>
        <v>11.3445</v>
      </c>
      <c r="E471" s="12">
        <f>11.3498 * CHOOSE( CONTROL!$C$12, $D$11, 100%, $F$11)</f>
        <v>11.3498</v>
      </c>
      <c r="F471" s="4">
        <f>12.3459 * CHOOSE(CONTROL!$C$12, $D$11, 100%, $F$11)</f>
        <v>12.3459</v>
      </c>
      <c r="G471" s="8">
        <f>11.074 * CHOOSE( CONTROL!$C$12, $D$11, 100%, $F$11)</f>
        <v>11.074</v>
      </c>
      <c r="H471" s="4">
        <f>11.9581 * CHOOSE(CONTROL!$C$12, $D$11, 100%, $F$11)</f>
        <v>11.9581</v>
      </c>
      <c r="I471" s="8">
        <f>10.9718 * CHOOSE(CONTROL!$C$12, $D$11, 100%, $F$11)</f>
        <v>10.9718</v>
      </c>
      <c r="J471" s="4">
        <f>10.8724 * CHOOSE(CONTROL!$C$12, $D$11, 100%, $F$11)</f>
        <v>10.872400000000001</v>
      </c>
      <c r="K471" s="4"/>
      <c r="L471" s="9">
        <v>26.515499999999999</v>
      </c>
      <c r="M471" s="9">
        <v>11.6745</v>
      </c>
      <c r="N471" s="9">
        <v>4.7850000000000001</v>
      </c>
      <c r="O471" s="9">
        <v>0.36249999999999999</v>
      </c>
      <c r="P471" s="9">
        <v>1.2522</v>
      </c>
      <c r="Q471" s="9">
        <v>19.236599999999999</v>
      </c>
      <c r="R471" s="9"/>
      <c r="S471" s="11"/>
    </row>
    <row r="472" spans="1:19" ht="15.75">
      <c r="A472" s="13">
        <v>56249</v>
      </c>
      <c r="B472" s="8">
        <f>11.331 * CHOOSE(CONTROL!$C$12, $D$11, 100%, $F$11)</f>
        <v>11.331</v>
      </c>
      <c r="C472" s="8">
        <f>11.3414 * CHOOSE(CONTROL!$C$12, $D$11, 100%, $F$11)</f>
        <v>11.3414</v>
      </c>
      <c r="D472" s="8">
        <f>11.3258 * CHOOSE( CONTROL!$C$12, $D$11, 100%, $F$11)</f>
        <v>11.325799999999999</v>
      </c>
      <c r="E472" s="12">
        <f>11.3304 * CHOOSE( CONTROL!$C$12, $D$11, 100%, $F$11)</f>
        <v>11.330399999999999</v>
      </c>
      <c r="F472" s="4">
        <f>12.3252 * CHOOSE(CONTROL!$C$12, $D$11, 100%, $F$11)</f>
        <v>12.325200000000001</v>
      </c>
      <c r="G472" s="8">
        <f>11.0555 * CHOOSE( CONTROL!$C$12, $D$11, 100%, $F$11)</f>
        <v>11.0555</v>
      </c>
      <c r="H472" s="4">
        <f>11.938 * CHOOSE(CONTROL!$C$12, $D$11, 100%, $F$11)</f>
        <v>11.938000000000001</v>
      </c>
      <c r="I472" s="8">
        <f>10.9593 * CHOOSE(CONTROL!$C$12, $D$11, 100%, $F$11)</f>
        <v>10.959300000000001</v>
      </c>
      <c r="J472" s="4">
        <f>10.8526 * CHOOSE(CONTROL!$C$12, $D$11, 100%, $F$11)</f>
        <v>10.852600000000001</v>
      </c>
      <c r="K472" s="4"/>
      <c r="L472" s="9">
        <v>27.3993</v>
      </c>
      <c r="M472" s="9">
        <v>12.063700000000001</v>
      </c>
      <c r="N472" s="9">
        <v>4.9444999999999997</v>
      </c>
      <c r="O472" s="9">
        <v>0.37459999999999999</v>
      </c>
      <c r="P472" s="9">
        <v>1.2939000000000001</v>
      </c>
      <c r="Q472" s="9">
        <v>19.877800000000001</v>
      </c>
      <c r="R472" s="9"/>
      <c r="S472" s="11"/>
    </row>
    <row r="473" spans="1:19" ht="15.75">
      <c r="A473" s="13">
        <v>56280</v>
      </c>
      <c r="B473" s="8">
        <f>11.7639 * CHOOSE(CONTROL!$C$12, $D$11, 100%, $F$11)</f>
        <v>11.7639</v>
      </c>
      <c r="C473" s="8">
        <f>11.7743 * CHOOSE(CONTROL!$C$12, $D$11, 100%, $F$11)</f>
        <v>11.7743</v>
      </c>
      <c r="D473" s="8">
        <f>11.772 * CHOOSE( CONTROL!$C$12, $D$11, 100%, $F$11)</f>
        <v>11.772</v>
      </c>
      <c r="E473" s="12">
        <f>11.7717 * CHOOSE( CONTROL!$C$12, $D$11, 100%, $F$11)</f>
        <v>11.771699999999999</v>
      </c>
      <c r="F473" s="4">
        <f>12.7868 * CHOOSE(CONTROL!$C$12, $D$11, 100%, $F$11)</f>
        <v>12.786799999999999</v>
      </c>
      <c r="G473" s="8">
        <f>11.4946 * CHOOSE( CONTROL!$C$12, $D$11, 100%, $F$11)</f>
        <v>11.4946</v>
      </c>
      <c r="H473" s="4">
        <f>12.388 * CHOOSE(CONTROL!$C$12, $D$11, 100%, $F$11)</f>
        <v>12.388</v>
      </c>
      <c r="I473" s="8">
        <f>11.3816 * CHOOSE(CONTROL!$C$12, $D$11, 100%, $F$11)</f>
        <v>11.381600000000001</v>
      </c>
      <c r="J473" s="4">
        <f>11.2674 * CHOOSE(CONTROL!$C$12, $D$11, 100%, $F$11)</f>
        <v>11.2674</v>
      </c>
      <c r="K473" s="4"/>
      <c r="L473" s="9">
        <v>27.3993</v>
      </c>
      <c r="M473" s="9">
        <v>12.063700000000001</v>
      </c>
      <c r="N473" s="9">
        <v>4.9444999999999997</v>
      </c>
      <c r="O473" s="9">
        <v>0.37459999999999999</v>
      </c>
      <c r="P473" s="9">
        <v>1.2939000000000001</v>
      </c>
      <c r="Q473" s="9">
        <v>19.814599999999999</v>
      </c>
      <c r="R473" s="9"/>
      <c r="S473" s="11"/>
    </row>
    <row r="474" spans="1:19" ht="15.75">
      <c r="A474" s="13">
        <v>56308</v>
      </c>
      <c r="B474" s="8">
        <f>11.0037 * CHOOSE(CONTROL!$C$12, $D$11, 100%, $F$11)</f>
        <v>11.0037</v>
      </c>
      <c r="C474" s="8">
        <f>11.0141 * CHOOSE(CONTROL!$C$12, $D$11, 100%, $F$11)</f>
        <v>11.014099999999999</v>
      </c>
      <c r="D474" s="8">
        <f>11.0141 * CHOOSE( CONTROL!$C$12, $D$11, 100%, $F$11)</f>
        <v>11.014099999999999</v>
      </c>
      <c r="E474" s="12">
        <f>11.013 * CHOOSE( CONTROL!$C$12, $D$11, 100%, $F$11)</f>
        <v>11.013</v>
      </c>
      <c r="F474" s="4">
        <f>12.0188 * CHOOSE(CONTROL!$C$12, $D$11, 100%, $F$11)</f>
        <v>12.018800000000001</v>
      </c>
      <c r="G474" s="8">
        <f>10.7534 * CHOOSE( CONTROL!$C$12, $D$11, 100%, $F$11)</f>
        <v>10.753399999999999</v>
      </c>
      <c r="H474" s="4">
        <f>11.6393 * CHOOSE(CONTROL!$C$12, $D$11, 100%, $F$11)</f>
        <v>11.6393</v>
      </c>
      <c r="I474" s="8">
        <f>10.6419 * CHOOSE(CONTROL!$C$12, $D$11, 100%, $F$11)</f>
        <v>10.6419</v>
      </c>
      <c r="J474" s="4">
        <f>10.539 * CHOOSE(CONTROL!$C$12, $D$11, 100%, $F$11)</f>
        <v>10.539</v>
      </c>
      <c r="K474" s="4"/>
      <c r="L474" s="9">
        <v>24.747800000000002</v>
      </c>
      <c r="M474" s="9">
        <v>10.8962</v>
      </c>
      <c r="N474" s="9">
        <v>4.4660000000000002</v>
      </c>
      <c r="O474" s="9">
        <v>0.33829999999999999</v>
      </c>
      <c r="P474" s="9">
        <v>1.1687000000000001</v>
      </c>
      <c r="Q474" s="9">
        <v>17.896999999999998</v>
      </c>
      <c r="R474" s="9"/>
      <c r="S474" s="11"/>
    </row>
    <row r="475" spans="1:19" ht="15.75">
      <c r="A475" s="13">
        <v>56339</v>
      </c>
      <c r="B475" s="8">
        <f>10.7696 * CHOOSE(CONTROL!$C$12, $D$11, 100%, $F$11)</f>
        <v>10.769600000000001</v>
      </c>
      <c r="C475" s="8">
        <f>10.78 * CHOOSE(CONTROL!$C$12, $D$11, 100%, $F$11)</f>
        <v>10.78</v>
      </c>
      <c r="D475" s="8">
        <f>10.7598 * CHOOSE( CONTROL!$C$12, $D$11, 100%, $F$11)</f>
        <v>10.7598</v>
      </c>
      <c r="E475" s="12">
        <f>10.7661 * CHOOSE( CONTROL!$C$12, $D$11, 100%, $F$11)</f>
        <v>10.7661</v>
      </c>
      <c r="F475" s="4">
        <f>11.7685 * CHOOSE(CONTROL!$C$12, $D$11, 100%, $F$11)</f>
        <v>11.7685</v>
      </c>
      <c r="G475" s="8">
        <f>10.5047 * CHOOSE( CONTROL!$C$12, $D$11, 100%, $F$11)</f>
        <v>10.5047</v>
      </c>
      <c r="H475" s="4">
        <f>11.3953 * CHOOSE(CONTROL!$C$12, $D$11, 100%, $F$11)</f>
        <v>11.395300000000001</v>
      </c>
      <c r="I475" s="8">
        <f>10.3779 * CHOOSE(CONTROL!$C$12, $D$11, 100%, $F$11)</f>
        <v>10.3779</v>
      </c>
      <c r="J475" s="4">
        <f>10.3146 * CHOOSE(CONTROL!$C$12, $D$11, 100%, $F$11)</f>
        <v>10.3146</v>
      </c>
      <c r="K475" s="4"/>
      <c r="L475" s="9">
        <v>27.3993</v>
      </c>
      <c r="M475" s="9">
        <v>12.063700000000001</v>
      </c>
      <c r="N475" s="9">
        <v>4.9444999999999997</v>
      </c>
      <c r="O475" s="9">
        <v>0.37459999999999999</v>
      </c>
      <c r="P475" s="9">
        <v>1.2939000000000001</v>
      </c>
      <c r="Q475" s="9">
        <v>19.814599999999999</v>
      </c>
      <c r="R475" s="9"/>
      <c r="S475" s="11"/>
    </row>
    <row r="476" spans="1:19" ht="15.75">
      <c r="A476" s="13">
        <v>56369</v>
      </c>
      <c r="B476" s="8">
        <f>10.9332 * CHOOSE(CONTROL!$C$12, $D$11, 100%, $F$11)</f>
        <v>10.933199999999999</v>
      </c>
      <c r="C476" s="8">
        <f>10.9436 * CHOOSE(CONTROL!$C$12, $D$11, 100%, $F$11)</f>
        <v>10.9436</v>
      </c>
      <c r="D476" s="8">
        <f>10.9468 * CHOOSE( CONTROL!$C$12, $D$11, 100%, $F$11)</f>
        <v>10.9468</v>
      </c>
      <c r="E476" s="12">
        <f>10.9446 * CHOOSE( CONTROL!$C$12, $D$11, 100%, $F$11)</f>
        <v>10.944599999999999</v>
      </c>
      <c r="F476" s="4">
        <f>11.9404 * CHOOSE(CONTROL!$C$12, $D$11, 100%, $F$11)</f>
        <v>11.9404</v>
      </c>
      <c r="G476" s="8">
        <f>10.6521 * CHOOSE( CONTROL!$C$12, $D$11, 100%, $F$11)</f>
        <v>10.652100000000001</v>
      </c>
      <c r="H476" s="4">
        <f>11.5629 * CHOOSE(CONTROL!$C$12, $D$11, 100%, $F$11)</f>
        <v>11.562900000000001</v>
      </c>
      <c r="I476" s="8">
        <f>10.5249 * CHOOSE(CONTROL!$C$12, $D$11, 100%, $F$11)</f>
        <v>10.524900000000001</v>
      </c>
      <c r="J476" s="4">
        <f>10.4714 * CHOOSE(CONTROL!$C$12, $D$11, 100%, $F$11)</f>
        <v>10.471399999999999</v>
      </c>
      <c r="K476" s="4"/>
      <c r="L476" s="9">
        <v>27.988800000000001</v>
      </c>
      <c r="M476" s="9">
        <v>11.6745</v>
      </c>
      <c r="N476" s="9">
        <v>4.7850000000000001</v>
      </c>
      <c r="O476" s="9">
        <v>0.36249999999999999</v>
      </c>
      <c r="P476" s="9">
        <v>1.1798</v>
      </c>
      <c r="Q476" s="9">
        <v>19.1754</v>
      </c>
      <c r="R476" s="9"/>
      <c r="S476" s="11"/>
    </row>
    <row r="477" spans="1:19" ht="15.75">
      <c r="A477" s="13">
        <v>56400</v>
      </c>
      <c r="B477" s="8">
        <f>CHOOSE( CONTROL!$C$29, 11.2286, 11.2244) * CHOOSE(CONTROL!$C$12, $D$11, 100%, $F$11)</f>
        <v>11.2286</v>
      </c>
      <c r="C477" s="8">
        <f>CHOOSE( CONTROL!$C$29, 11.239, 11.2348) * CHOOSE(CONTROL!$C$12, $D$11, 100%, $F$11)</f>
        <v>11.239000000000001</v>
      </c>
      <c r="D477" s="8">
        <f>CHOOSE( CONTROL!$C$29, 11.217, 11.2127) * CHOOSE( CONTROL!$C$12, $D$11, 100%, $F$11)</f>
        <v>11.217000000000001</v>
      </c>
      <c r="E477" s="12">
        <f>CHOOSE( CONTROL!$C$29, 11.2234, 11.2191) * CHOOSE( CONTROL!$C$12, $D$11, 100%, $F$11)</f>
        <v>11.2234</v>
      </c>
      <c r="F477" s="4">
        <f>CHOOSE( CONTROL!$C$29, 12.2035, 12.1993) * CHOOSE(CONTROL!$C$12, $D$11, 100%, $F$11)</f>
        <v>12.2035</v>
      </c>
      <c r="G477" s="8">
        <f>CHOOSE( CONTROL!$C$29, 10.9213, 10.9171) * CHOOSE( CONTROL!$C$12, $D$11, 100%, $F$11)</f>
        <v>10.9213</v>
      </c>
      <c r="H477" s="4">
        <f>CHOOSE( CONTROL!$C$29, 11.8194, 11.8152) * CHOOSE(CONTROL!$C$12, $D$11, 100%, $F$11)</f>
        <v>11.8194</v>
      </c>
      <c r="I477" s="8">
        <f>CHOOSE( CONTROL!$C$29, 10.7866, 10.7825) * CHOOSE(CONTROL!$C$12, $D$11, 100%, $F$11)</f>
        <v>10.7866</v>
      </c>
      <c r="J477" s="4">
        <f>CHOOSE( CONTROL!$C$29, 10.7545, 10.7504) * CHOOSE(CONTROL!$C$12, $D$11, 100%, $F$11)</f>
        <v>10.7545</v>
      </c>
      <c r="K477" s="4"/>
      <c r="L477" s="9">
        <v>29.520499999999998</v>
      </c>
      <c r="M477" s="9">
        <v>12.063700000000001</v>
      </c>
      <c r="N477" s="9">
        <v>4.9444999999999997</v>
      </c>
      <c r="O477" s="9">
        <v>0.37459999999999999</v>
      </c>
      <c r="P477" s="9">
        <v>1.2192000000000001</v>
      </c>
      <c r="Q477" s="9">
        <v>19.814599999999999</v>
      </c>
      <c r="R477" s="9"/>
      <c r="S477" s="11"/>
    </row>
    <row r="478" spans="1:19" ht="15.75">
      <c r="A478" s="13">
        <v>56430</v>
      </c>
      <c r="B478" s="8">
        <f>CHOOSE( CONTROL!$C$29, 11.0482, 11.044) * CHOOSE(CONTROL!$C$12, $D$11, 100%, $F$11)</f>
        <v>11.0482</v>
      </c>
      <c r="C478" s="8">
        <f>CHOOSE( CONTROL!$C$29, 11.0586, 11.0544) * CHOOSE(CONTROL!$C$12, $D$11, 100%, $F$11)</f>
        <v>11.0586</v>
      </c>
      <c r="D478" s="8">
        <f>CHOOSE( CONTROL!$C$29, 11.031, 11.0267) * CHOOSE( CONTROL!$C$12, $D$11, 100%, $F$11)</f>
        <v>11.031000000000001</v>
      </c>
      <c r="E478" s="12">
        <f>CHOOSE( CONTROL!$C$29, 11.0394, 11.0352) * CHOOSE( CONTROL!$C$12, $D$11, 100%, $F$11)</f>
        <v>11.039400000000001</v>
      </c>
      <c r="F478" s="4">
        <f>CHOOSE( CONTROL!$C$29, 12.0127, 12.0084) * CHOOSE(CONTROL!$C$12, $D$11, 100%, $F$11)</f>
        <v>12.012700000000001</v>
      </c>
      <c r="G478" s="8">
        <f>CHOOSE( CONTROL!$C$29, 10.7442, 10.74) * CHOOSE( CONTROL!$C$12, $D$11, 100%, $F$11)</f>
        <v>10.744199999999999</v>
      </c>
      <c r="H478" s="4">
        <f>CHOOSE( CONTROL!$C$29, 11.6334, 11.6292) * CHOOSE(CONTROL!$C$12, $D$11, 100%, $F$11)</f>
        <v>11.6334</v>
      </c>
      <c r="I478" s="8">
        <f>CHOOSE( CONTROL!$C$29, 10.6158, 10.6117) * CHOOSE(CONTROL!$C$12, $D$11, 100%, $F$11)</f>
        <v>10.6158</v>
      </c>
      <c r="J478" s="4">
        <f>CHOOSE( CONTROL!$C$29, 10.5816, 10.5776) * CHOOSE(CONTROL!$C$12, $D$11, 100%, $F$11)</f>
        <v>10.5816</v>
      </c>
      <c r="K478" s="4"/>
      <c r="L478" s="9">
        <v>28.568200000000001</v>
      </c>
      <c r="M478" s="9">
        <v>11.6745</v>
      </c>
      <c r="N478" s="9">
        <v>4.7850000000000001</v>
      </c>
      <c r="O478" s="9">
        <v>0.36249999999999999</v>
      </c>
      <c r="P478" s="9">
        <v>1.1798</v>
      </c>
      <c r="Q478" s="9">
        <v>19.1754</v>
      </c>
      <c r="R478" s="9"/>
      <c r="S478" s="11"/>
    </row>
    <row r="479" spans="1:19" ht="15.75">
      <c r="A479" s="13">
        <v>56461</v>
      </c>
      <c r="B479" s="8">
        <f>CHOOSE( CONTROL!$C$29, 11.5232, 11.519) * CHOOSE(CONTROL!$C$12, $D$11, 100%, $F$11)</f>
        <v>11.523199999999999</v>
      </c>
      <c r="C479" s="8">
        <f>CHOOSE( CONTROL!$C$29, 11.5337, 11.5294) * CHOOSE(CONTROL!$C$12, $D$11, 100%, $F$11)</f>
        <v>11.5337</v>
      </c>
      <c r="D479" s="8">
        <f>CHOOSE( CONTROL!$C$29, 11.5398, 11.5355) * CHOOSE( CONTROL!$C$12, $D$11, 100%, $F$11)</f>
        <v>11.5398</v>
      </c>
      <c r="E479" s="12">
        <f>CHOOSE( CONTROL!$C$29, 11.536, 11.5317) * CHOOSE( CONTROL!$C$12, $D$11, 100%, $F$11)</f>
        <v>11.536</v>
      </c>
      <c r="F479" s="4">
        <f>CHOOSE( CONTROL!$C$29, 12.5331, 12.5288) * CHOOSE(CONTROL!$C$12, $D$11, 100%, $F$11)</f>
        <v>12.533099999999999</v>
      </c>
      <c r="G479" s="8">
        <f>CHOOSE( CONTROL!$C$29, 11.2333, 11.2291) * CHOOSE( CONTROL!$C$12, $D$11, 100%, $F$11)</f>
        <v>11.2333</v>
      </c>
      <c r="H479" s="4">
        <f>CHOOSE( CONTROL!$C$29, 12.1406, 12.1365) * CHOOSE(CONTROL!$C$12, $D$11, 100%, $F$11)</f>
        <v>12.140599999999999</v>
      </c>
      <c r="I479" s="8">
        <f>CHOOSE( CONTROL!$C$29, 11.1265, 11.1224) * CHOOSE(CONTROL!$C$12, $D$11, 100%, $F$11)</f>
        <v>11.1265</v>
      </c>
      <c r="J479" s="4">
        <f>CHOOSE( CONTROL!$C$29, 11.0368, 11.0327) * CHOOSE(CONTROL!$C$12, $D$11, 100%, $F$11)</f>
        <v>11.036799999999999</v>
      </c>
      <c r="K479" s="4"/>
      <c r="L479" s="9">
        <v>29.520499999999998</v>
      </c>
      <c r="M479" s="9">
        <v>12.063700000000001</v>
      </c>
      <c r="N479" s="9">
        <v>4.9444999999999997</v>
      </c>
      <c r="O479" s="9">
        <v>0.37459999999999999</v>
      </c>
      <c r="P479" s="9">
        <v>1.2192000000000001</v>
      </c>
      <c r="Q479" s="9">
        <v>19.814599999999999</v>
      </c>
      <c r="R479" s="9"/>
      <c r="S479" s="11"/>
    </row>
    <row r="480" spans="1:19" ht="15.75">
      <c r="A480" s="13">
        <v>56492</v>
      </c>
      <c r="B480" s="8">
        <f>CHOOSE( CONTROL!$C$29, 10.6344, 10.6302) * CHOOSE(CONTROL!$C$12, $D$11, 100%, $F$11)</f>
        <v>10.634399999999999</v>
      </c>
      <c r="C480" s="8">
        <f>CHOOSE( CONTROL!$C$29, 10.6449, 10.6406) * CHOOSE(CONTROL!$C$12, $D$11, 100%, $F$11)</f>
        <v>10.6449</v>
      </c>
      <c r="D480" s="8">
        <f>CHOOSE( CONTROL!$C$29, 10.6675, 10.6632) * CHOOSE( CONTROL!$C$12, $D$11, 100%, $F$11)</f>
        <v>10.6675</v>
      </c>
      <c r="E480" s="12">
        <f>CHOOSE( CONTROL!$C$29, 10.6577, 10.6534) * CHOOSE( CONTROL!$C$12, $D$11, 100%, $F$11)</f>
        <v>10.6577</v>
      </c>
      <c r="F480" s="4">
        <f>CHOOSE( CONTROL!$C$29, 11.673, 11.6687) * CHOOSE(CONTROL!$C$12, $D$11, 100%, $F$11)</f>
        <v>11.673</v>
      </c>
      <c r="G480" s="8">
        <f>CHOOSE( CONTROL!$C$29, 10.3725, 10.3684) * CHOOSE( CONTROL!$C$12, $D$11, 100%, $F$11)</f>
        <v>10.3725</v>
      </c>
      <c r="H480" s="4">
        <f>CHOOSE( CONTROL!$C$29, 11.3023, 11.2981) * CHOOSE(CONTROL!$C$12, $D$11, 100%, $F$11)</f>
        <v>11.302300000000001</v>
      </c>
      <c r="I480" s="8">
        <f>CHOOSE( CONTROL!$C$29, 10.2659, 10.2618) * CHOOSE(CONTROL!$C$12, $D$11, 100%, $F$11)</f>
        <v>10.2659</v>
      </c>
      <c r="J480" s="4">
        <f>CHOOSE( CONTROL!$C$29, 10.1852, 10.1811) * CHOOSE(CONTROL!$C$12, $D$11, 100%, $F$11)</f>
        <v>10.1852</v>
      </c>
      <c r="K480" s="4"/>
      <c r="L480" s="9">
        <v>29.520499999999998</v>
      </c>
      <c r="M480" s="9">
        <v>12.063700000000001</v>
      </c>
      <c r="N480" s="9">
        <v>4.9444999999999997</v>
      </c>
      <c r="O480" s="9">
        <v>0.37459999999999999</v>
      </c>
      <c r="P480" s="9">
        <v>1.2192000000000001</v>
      </c>
      <c r="Q480" s="9">
        <v>19.814599999999999</v>
      </c>
      <c r="R480" s="9"/>
      <c r="S480" s="11"/>
    </row>
    <row r="481" spans="1:19" ht="15.75">
      <c r="A481" s="13">
        <v>56522</v>
      </c>
      <c r="B481" s="8">
        <f>CHOOSE( CONTROL!$C$29, 10.4119, 10.4076) * CHOOSE(CONTROL!$C$12, $D$11, 100%, $F$11)</f>
        <v>10.411899999999999</v>
      </c>
      <c r="C481" s="8">
        <f>CHOOSE( CONTROL!$C$29, 10.4223, 10.4181) * CHOOSE(CONTROL!$C$12, $D$11, 100%, $F$11)</f>
        <v>10.4223</v>
      </c>
      <c r="D481" s="8">
        <f>CHOOSE( CONTROL!$C$29, 10.4449, 10.4406) * CHOOSE( CONTROL!$C$12, $D$11, 100%, $F$11)</f>
        <v>10.444900000000001</v>
      </c>
      <c r="E481" s="12">
        <f>CHOOSE( CONTROL!$C$29, 10.4351, 10.4308) * CHOOSE( CONTROL!$C$12, $D$11, 100%, $F$11)</f>
        <v>10.4351</v>
      </c>
      <c r="F481" s="4">
        <f>CHOOSE( CONTROL!$C$29, 11.4504, 11.4462) * CHOOSE(CONTROL!$C$12, $D$11, 100%, $F$11)</f>
        <v>11.4504</v>
      </c>
      <c r="G481" s="8">
        <f>CHOOSE( CONTROL!$C$29, 10.1552, 10.1511) * CHOOSE( CONTROL!$C$12, $D$11, 100%, $F$11)</f>
        <v>10.155200000000001</v>
      </c>
      <c r="H481" s="4">
        <f>CHOOSE( CONTROL!$C$29, 11.0853, 11.0812) * CHOOSE(CONTROL!$C$12, $D$11, 100%, $F$11)</f>
        <v>11.0853</v>
      </c>
      <c r="I481" s="8">
        <f>CHOOSE( CONTROL!$C$29, 10.0508, 10.0467) * CHOOSE(CONTROL!$C$12, $D$11, 100%, $F$11)</f>
        <v>10.050800000000001</v>
      </c>
      <c r="J481" s="4">
        <f>CHOOSE( CONTROL!$C$29, 9.9719, 9.9678) * CHOOSE(CONTROL!$C$12, $D$11, 100%, $F$11)</f>
        <v>9.9718999999999998</v>
      </c>
      <c r="K481" s="4"/>
      <c r="L481" s="9">
        <v>28.568200000000001</v>
      </c>
      <c r="M481" s="9">
        <v>11.6745</v>
      </c>
      <c r="N481" s="9">
        <v>4.7850000000000001</v>
      </c>
      <c r="O481" s="9">
        <v>0.36249999999999999</v>
      </c>
      <c r="P481" s="9">
        <v>1.1798</v>
      </c>
      <c r="Q481" s="9">
        <v>19.1754</v>
      </c>
      <c r="R481" s="9"/>
      <c r="S481" s="11"/>
    </row>
    <row r="482" spans="1:19" ht="15.75">
      <c r="A482" s="13">
        <v>56553</v>
      </c>
      <c r="B482" s="8">
        <f>10.8697 * CHOOSE(CONTROL!$C$12, $D$11, 100%, $F$11)</f>
        <v>10.8697</v>
      </c>
      <c r="C482" s="8">
        <f>10.8802 * CHOOSE(CONTROL!$C$12, $D$11, 100%, $F$11)</f>
        <v>10.8802</v>
      </c>
      <c r="D482" s="8">
        <f>10.8846 * CHOOSE( CONTROL!$C$12, $D$11, 100%, $F$11)</f>
        <v>10.884600000000001</v>
      </c>
      <c r="E482" s="12">
        <f>10.882 * CHOOSE( CONTROL!$C$12, $D$11, 100%, $F$11)</f>
        <v>10.882</v>
      </c>
      <c r="F482" s="4">
        <f>11.877 * CHOOSE(CONTROL!$C$12, $D$11, 100%, $F$11)</f>
        <v>11.877000000000001</v>
      </c>
      <c r="G482" s="8">
        <f>10.5918 * CHOOSE( CONTROL!$C$12, $D$11, 100%, $F$11)</f>
        <v>10.591799999999999</v>
      </c>
      <c r="H482" s="4">
        <f>11.5011 * CHOOSE(CONTROL!$C$12, $D$11, 100%, $F$11)</f>
        <v>11.501099999999999</v>
      </c>
      <c r="I482" s="8">
        <f>10.4864 * CHOOSE(CONTROL!$C$12, $D$11, 100%, $F$11)</f>
        <v>10.4864</v>
      </c>
      <c r="J482" s="4">
        <f>10.4106 * CHOOSE(CONTROL!$C$12, $D$11, 100%, $F$11)</f>
        <v>10.410600000000001</v>
      </c>
      <c r="K482" s="4"/>
      <c r="L482" s="9">
        <v>28.921800000000001</v>
      </c>
      <c r="M482" s="9">
        <v>12.063700000000001</v>
      </c>
      <c r="N482" s="9">
        <v>4.9444999999999997</v>
      </c>
      <c r="O482" s="9">
        <v>0.37459999999999999</v>
      </c>
      <c r="P482" s="9">
        <v>1.2192000000000001</v>
      </c>
      <c r="Q482" s="9">
        <v>19.814599999999999</v>
      </c>
      <c r="R482" s="9"/>
      <c r="S482" s="11"/>
    </row>
    <row r="483" spans="1:19" ht="15.75">
      <c r="A483" s="13">
        <v>56583</v>
      </c>
      <c r="B483" s="8">
        <f>11.7227 * CHOOSE(CONTROL!$C$12, $D$11, 100%, $F$11)</f>
        <v>11.7227</v>
      </c>
      <c r="C483" s="8">
        <f>11.7332 * CHOOSE(CONTROL!$C$12, $D$11, 100%, $F$11)</f>
        <v>11.7332</v>
      </c>
      <c r="D483" s="8">
        <f>11.7156 * CHOOSE( CONTROL!$C$12, $D$11, 100%, $F$11)</f>
        <v>11.7156</v>
      </c>
      <c r="E483" s="12">
        <f>11.7209 * CHOOSE( CONTROL!$C$12, $D$11, 100%, $F$11)</f>
        <v>11.7209</v>
      </c>
      <c r="F483" s="4">
        <f>12.7169 * CHOOSE(CONTROL!$C$12, $D$11, 100%, $F$11)</f>
        <v>12.716900000000001</v>
      </c>
      <c r="G483" s="8">
        <f>11.4358 * CHOOSE( CONTROL!$C$12, $D$11, 100%, $F$11)</f>
        <v>11.4358</v>
      </c>
      <c r="H483" s="4">
        <f>12.3199 * CHOOSE(CONTROL!$C$12, $D$11, 100%, $F$11)</f>
        <v>12.319900000000001</v>
      </c>
      <c r="I483" s="8">
        <f>11.3276 * CHOOSE(CONTROL!$C$12, $D$11, 100%, $F$11)</f>
        <v>11.3276</v>
      </c>
      <c r="J483" s="4">
        <f>11.228 * CHOOSE(CONTROL!$C$12, $D$11, 100%, $F$11)</f>
        <v>11.228</v>
      </c>
      <c r="K483" s="4"/>
      <c r="L483" s="9">
        <v>26.515499999999999</v>
      </c>
      <c r="M483" s="9">
        <v>11.6745</v>
      </c>
      <c r="N483" s="9">
        <v>4.7850000000000001</v>
      </c>
      <c r="O483" s="9">
        <v>0.36249999999999999</v>
      </c>
      <c r="P483" s="9">
        <v>1.2522</v>
      </c>
      <c r="Q483" s="9">
        <v>19.1754</v>
      </c>
      <c r="R483" s="9"/>
      <c r="S483" s="11"/>
    </row>
    <row r="484" spans="1:19" ht="15.75">
      <c r="A484" s="13">
        <v>56614</v>
      </c>
      <c r="B484" s="8">
        <f>11.7014 * CHOOSE(CONTROL!$C$12, $D$11, 100%, $F$11)</f>
        <v>11.7014</v>
      </c>
      <c r="C484" s="8">
        <f>11.7119 * CHOOSE(CONTROL!$C$12, $D$11, 100%, $F$11)</f>
        <v>11.7119</v>
      </c>
      <c r="D484" s="8">
        <f>11.6963 * CHOOSE( CONTROL!$C$12, $D$11, 100%, $F$11)</f>
        <v>11.696300000000001</v>
      </c>
      <c r="E484" s="12">
        <f>11.7009 * CHOOSE( CONTROL!$C$12, $D$11, 100%, $F$11)</f>
        <v>11.700900000000001</v>
      </c>
      <c r="F484" s="4">
        <f>12.6956 * CHOOSE(CONTROL!$C$12, $D$11, 100%, $F$11)</f>
        <v>12.695600000000001</v>
      </c>
      <c r="G484" s="8">
        <f>11.4165 * CHOOSE( CONTROL!$C$12, $D$11, 100%, $F$11)</f>
        <v>11.416499999999999</v>
      </c>
      <c r="H484" s="4">
        <f>12.2991 * CHOOSE(CONTROL!$C$12, $D$11, 100%, $F$11)</f>
        <v>12.299099999999999</v>
      </c>
      <c r="I484" s="8">
        <f>11.3144 * CHOOSE(CONTROL!$C$12, $D$11, 100%, $F$11)</f>
        <v>11.314399999999999</v>
      </c>
      <c r="J484" s="4">
        <f>11.2075 * CHOOSE(CONTROL!$C$12, $D$11, 100%, $F$11)</f>
        <v>11.2075</v>
      </c>
      <c r="K484" s="4"/>
      <c r="L484" s="9">
        <v>27.3993</v>
      </c>
      <c r="M484" s="9">
        <v>12.063700000000001</v>
      </c>
      <c r="N484" s="9">
        <v>4.9444999999999997</v>
      </c>
      <c r="O484" s="9">
        <v>0.37459999999999999</v>
      </c>
      <c r="P484" s="9">
        <v>1.2939000000000001</v>
      </c>
      <c r="Q484" s="9">
        <v>19.814599999999999</v>
      </c>
      <c r="R484" s="9"/>
      <c r="S484" s="11"/>
    </row>
    <row r="485" spans="1:19" ht="15.75">
      <c r="A485" s="13">
        <v>56645</v>
      </c>
      <c r="B485" s="8">
        <f>12.1484 * CHOOSE(CONTROL!$C$12, $D$11, 100%, $F$11)</f>
        <v>12.148400000000001</v>
      </c>
      <c r="C485" s="8">
        <f>12.1589 * CHOOSE(CONTROL!$C$12, $D$11, 100%, $F$11)</f>
        <v>12.158899999999999</v>
      </c>
      <c r="D485" s="8">
        <f>12.1565 * CHOOSE( CONTROL!$C$12, $D$11, 100%, $F$11)</f>
        <v>12.156499999999999</v>
      </c>
      <c r="E485" s="12">
        <f>12.1563 * CHOOSE( CONTROL!$C$12, $D$11, 100%, $F$11)</f>
        <v>12.1563</v>
      </c>
      <c r="F485" s="4">
        <f>13.1714 * CHOOSE(CONTROL!$C$12, $D$11, 100%, $F$11)</f>
        <v>13.1714</v>
      </c>
      <c r="G485" s="8">
        <f>11.8694 * CHOOSE( CONTROL!$C$12, $D$11, 100%, $F$11)</f>
        <v>11.869400000000001</v>
      </c>
      <c r="H485" s="4">
        <f>12.7628 * CHOOSE(CONTROL!$C$12, $D$11, 100%, $F$11)</f>
        <v>12.7628</v>
      </c>
      <c r="I485" s="8">
        <f>11.7503 * CHOOSE(CONTROL!$C$12, $D$11, 100%, $F$11)</f>
        <v>11.750299999999999</v>
      </c>
      <c r="J485" s="4">
        <f>11.6359 * CHOOSE(CONTROL!$C$12, $D$11, 100%, $F$11)</f>
        <v>11.635899999999999</v>
      </c>
      <c r="K485" s="4"/>
      <c r="L485" s="9">
        <v>27.3993</v>
      </c>
      <c r="M485" s="9">
        <v>12.063700000000001</v>
      </c>
      <c r="N485" s="9">
        <v>4.9444999999999997</v>
      </c>
      <c r="O485" s="9">
        <v>0.37459999999999999</v>
      </c>
      <c r="P485" s="9">
        <v>1.2939000000000001</v>
      </c>
      <c r="Q485" s="9">
        <v>19.751300000000001</v>
      </c>
      <c r="R485" s="9"/>
      <c r="S485" s="11"/>
    </row>
    <row r="486" spans="1:19" ht="15.75">
      <c r="A486" s="13">
        <v>56673</v>
      </c>
      <c r="B486" s="8">
        <f>11.3634 * CHOOSE(CONTROL!$C$12, $D$11, 100%, $F$11)</f>
        <v>11.3634</v>
      </c>
      <c r="C486" s="8">
        <f>11.3738 * CHOOSE(CONTROL!$C$12, $D$11, 100%, $F$11)</f>
        <v>11.373799999999999</v>
      </c>
      <c r="D486" s="8">
        <f>11.3738 * CHOOSE( CONTROL!$C$12, $D$11, 100%, $F$11)</f>
        <v>11.373799999999999</v>
      </c>
      <c r="E486" s="12">
        <f>11.3727 * CHOOSE( CONTROL!$C$12, $D$11, 100%, $F$11)</f>
        <v>11.3727</v>
      </c>
      <c r="F486" s="4">
        <f>12.3785 * CHOOSE(CONTROL!$C$12, $D$11, 100%, $F$11)</f>
        <v>12.378500000000001</v>
      </c>
      <c r="G486" s="8">
        <f>11.1041 * CHOOSE( CONTROL!$C$12, $D$11, 100%, $F$11)</f>
        <v>11.104100000000001</v>
      </c>
      <c r="H486" s="4">
        <f>11.9899 * CHOOSE(CONTROL!$C$12, $D$11, 100%, $F$11)</f>
        <v>11.9899</v>
      </c>
      <c r="I486" s="8">
        <f>10.9867 * CHOOSE(CONTROL!$C$12, $D$11, 100%, $F$11)</f>
        <v>10.986700000000001</v>
      </c>
      <c r="J486" s="4">
        <f>10.8836 * CHOOSE(CONTROL!$C$12, $D$11, 100%, $F$11)</f>
        <v>10.883599999999999</v>
      </c>
      <c r="K486" s="4"/>
      <c r="L486" s="9">
        <v>24.747800000000002</v>
      </c>
      <c r="M486" s="9">
        <v>10.8962</v>
      </c>
      <c r="N486" s="9">
        <v>4.4660000000000002</v>
      </c>
      <c r="O486" s="9">
        <v>0.33829999999999999</v>
      </c>
      <c r="P486" s="9">
        <v>1.1687000000000001</v>
      </c>
      <c r="Q486" s="9">
        <v>17.8399</v>
      </c>
      <c r="R486" s="9"/>
      <c r="S486" s="11"/>
    </row>
    <row r="487" spans="1:19" ht="15.75">
      <c r="A487" s="13">
        <v>56704</v>
      </c>
      <c r="B487" s="8">
        <f>11.1216 * CHOOSE(CONTROL!$C$12, $D$11, 100%, $F$11)</f>
        <v>11.121600000000001</v>
      </c>
      <c r="C487" s="8">
        <f>11.132 * CHOOSE(CONTROL!$C$12, $D$11, 100%, $F$11)</f>
        <v>11.132</v>
      </c>
      <c r="D487" s="8">
        <f>11.1119 * CHOOSE( CONTROL!$C$12, $D$11, 100%, $F$11)</f>
        <v>11.1119</v>
      </c>
      <c r="E487" s="12">
        <f>11.1181 * CHOOSE( CONTROL!$C$12, $D$11, 100%, $F$11)</f>
        <v>11.1181</v>
      </c>
      <c r="F487" s="4">
        <f>12.1205 * CHOOSE(CONTROL!$C$12, $D$11, 100%, $F$11)</f>
        <v>12.1205</v>
      </c>
      <c r="G487" s="8">
        <f>10.8479 * CHOOSE( CONTROL!$C$12, $D$11, 100%, $F$11)</f>
        <v>10.847899999999999</v>
      </c>
      <c r="H487" s="4">
        <f>11.7385 * CHOOSE(CONTROL!$C$12, $D$11, 100%, $F$11)</f>
        <v>11.7385</v>
      </c>
      <c r="I487" s="8">
        <f>10.7154 * CHOOSE(CONTROL!$C$12, $D$11, 100%, $F$11)</f>
        <v>10.715400000000001</v>
      </c>
      <c r="J487" s="4">
        <f>10.652 * CHOOSE(CONTROL!$C$12, $D$11, 100%, $F$11)</f>
        <v>10.651999999999999</v>
      </c>
      <c r="K487" s="4"/>
      <c r="L487" s="9">
        <v>27.3993</v>
      </c>
      <c r="M487" s="9">
        <v>12.063700000000001</v>
      </c>
      <c r="N487" s="9">
        <v>4.9444999999999997</v>
      </c>
      <c r="O487" s="9">
        <v>0.37459999999999999</v>
      </c>
      <c r="P487" s="9">
        <v>1.2939000000000001</v>
      </c>
      <c r="Q487" s="9">
        <v>19.751300000000001</v>
      </c>
      <c r="R487" s="9"/>
      <c r="S487" s="11"/>
    </row>
    <row r="488" spans="1:19" ht="15.75">
      <c r="A488" s="13">
        <v>56734</v>
      </c>
      <c r="B488" s="8">
        <f>11.2906 * CHOOSE(CONTROL!$C$12, $D$11, 100%, $F$11)</f>
        <v>11.2906</v>
      </c>
      <c r="C488" s="8">
        <f>11.301 * CHOOSE(CONTROL!$C$12, $D$11, 100%, $F$11)</f>
        <v>11.301</v>
      </c>
      <c r="D488" s="8">
        <f>11.3042 * CHOOSE( CONTROL!$C$12, $D$11, 100%, $F$11)</f>
        <v>11.3042</v>
      </c>
      <c r="E488" s="12">
        <f>11.302 * CHOOSE( CONTROL!$C$12, $D$11, 100%, $F$11)</f>
        <v>11.302</v>
      </c>
      <c r="F488" s="4">
        <f>12.2978 * CHOOSE(CONTROL!$C$12, $D$11, 100%, $F$11)</f>
        <v>12.297800000000001</v>
      </c>
      <c r="G488" s="8">
        <f>11.0004 * CHOOSE( CONTROL!$C$12, $D$11, 100%, $F$11)</f>
        <v>11.000400000000001</v>
      </c>
      <c r="H488" s="4">
        <f>11.9113 * CHOOSE(CONTROL!$C$12, $D$11, 100%, $F$11)</f>
        <v>11.911300000000001</v>
      </c>
      <c r="I488" s="8">
        <f>10.8675 * CHOOSE(CONTROL!$C$12, $D$11, 100%, $F$11)</f>
        <v>10.8675</v>
      </c>
      <c r="J488" s="4">
        <f>10.8139 * CHOOSE(CONTROL!$C$12, $D$11, 100%, $F$11)</f>
        <v>10.8139</v>
      </c>
      <c r="K488" s="4"/>
      <c r="L488" s="9">
        <v>27.988800000000001</v>
      </c>
      <c r="M488" s="9">
        <v>11.6745</v>
      </c>
      <c r="N488" s="9">
        <v>4.7850000000000001</v>
      </c>
      <c r="O488" s="9">
        <v>0.36249999999999999</v>
      </c>
      <c r="P488" s="9">
        <v>1.1798</v>
      </c>
      <c r="Q488" s="9">
        <v>19.1142</v>
      </c>
      <c r="R488" s="9"/>
      <c r="S488" s="11"/>
    </row>
    <row r="489" spans="1:19" ht="15.75">
      <c r="A489" s="13">
        <v>56765</v>
      </c>
      <c r="B489" s="8">
        <f>CHOOSE( CONTROL!$C$29, 11.5955, 11.5913) * CHOOSE(CONTROL!$C$12, $D$11, 100%, $F$11)</f>
        <v>11.595499999999999</v>
      </c>
      <c r="C489" s="8">
        <f>CHOOSE( CONTROL!$C$29, 11.6059, 11.6017) * CHOOSE(CONTROL!$C$12, $D$11, 100%, $F$11)</f>
        <v>11.6059</v>
      </c>
      <c r="D489" s="8">
        <f>CHOOSE( CONTROL!$C$29, 11.5839, 11.5796) * CHOOSE( CONTROL!$C$12, $D$11, 100%, $F$11)</f>
        <v>11.5839</v>
      </c>
      <c r="E489" s="12">
        <f>CHOOSE( CONTROL!$C$29, 11.5903, 11.586) * CHOOSE( CONTROL!$C$12, $D$11, 100%, $F$11)</f>
        <v>11.590299999999999</v>
      </c>
      <c r="F489" s="4">
        <f>CHOOSE( CONTROL!$C$29, 12.5704, 12.5662) * CHOOSE(CONTROL!$C$12, $D$11, 100%, $F$11)</f>
        <v>12.570399999999999</v>
      </c>
      <c r="G489" s="8">
        <f>CHOOSE( CONTROL!$C$29, 11.2789, 11.2748) * CHOOSE( CONTROL!$C$12, $D$11, 100%, $F$11)</f>
        <v>11.2789</v>
      </c>
      <c r="H489" s="4">
        <f>CHOOSE( CONTROL!$C$29, 12.177, 12.1729) * CHOOSE(CONTROL!$C$12, $D$11, 100%, $F$11)</f>
        <v>12.177</v>
      </c>
      <c r="I489" s="8">
        <f>CHOOSE( CONTROL!$C$29, 11.1383, 11.1342) * CHOOSE(CONTROL!$C$12, $D$11, 100%, $F$11)</f>
        <v>11.138299999999999</v>
      </c>
      <c r="J489" s="4">
        <f>CHOOSE( CONTROL!$C$29, 11.1061, 11.102) * CHOOSE(CONTROL!$C$12, $D$11, 100%, $F$11)</f>
        <v>11.1061</v>
      </c>
      <c r="K489" s="4"/>
      <c r="L489" s="9">
        <v>29.520499999999998</v>
      </c>
      <c r="M489" s="9">
        <v>12.063700000000001</v>
      </c>
      <c r="N489" s="9">
        <v>4.9444999999999997</v>
      </c>
      <c r="O489" s="9">
        <v>0.37459999999999999</v>
      </c>
      <c r="P489" s="9">
        <v>1.2192000000000001</v>
      </c>
      <c r="Q489" s="9">
        <v>19.751300000000001</v>
      </c>
      <c r="R489" s="9"/>
      <c r="S489" s="11"/>
    </row>
    <row r="490" spans="1:19" ht="15.75">
      <c r="A490" s="13">
        <v>56795</v>
      </c>
      <c r="B490" s="8">
        <f>CHOOSE( CONTROL!$C$29, 11.4092, 11.405) * CHOOSE(CONTROL!$C$12, $D$11, 100%, $F$11)</f>
        <v>11.4092</v>
      </c>
      <c r="C490" s="8">
        <f>CHOOSE( CONTROL!$C$29, 11.4197, 11.4154) * CHOOSE(CONTROL!$C$12, $D$11, 100%, $F$11)</f>
        <v>11.419700000000001</v>
      </c>
      <c r="D490" s="8">
        <f>CHOOSE( CONTROL!$C$29, 11.392, 11.3878) * CHOOSE( CONTROL!$C$12, $D$11, 100%, $F$11)</f>
        <v>11.391999999999999</v>
      </c>
      <c r="E490" s="12">
        <f>CHOOSE( CONTROL!$C$29, 11.4004, 11.3962) * CHOOSE( CONTROL!$C$12, $D$11, 100%, $F$11)</f>
        <v>11.400399999999999</v>
      </c>
      <c r="F490" s="4">
        <f>CHOOSE( CONTROL!$C$29, 12.3737, 12.3695) * CHOOSE(CONTROL!$C$12, $D$11, 100%, $F$11)</f>
        <v>12.373699999999999</v>
      </c>
      <c r="G490" s="8">
        <f>CHOOSE( CONTROL!$C$29, 11.0961, 11.092) * CHOOSE( CONTROL!$C$12, $D$11, 100%, $F$11)</f>
        <v>11.0961</v>
      </c>
      <c r="H490" s="4">
        <f>CHOOSE( CONTROL!$C$29, 11.9853, 11.9811) * CHOOSE(CONTROL!$C$12, $D$11, 100%, $F$11)</f>
        <v>11.985300000000001</v>
      </c>
      <c r="I490" s="8">
        <f>CHOOSE( CONTROL!$C$29, 10.9619, 10.9578) * CHOOSE(CONTROL!$C$12, $D$11, 100%, $F$11)</f>
        <v>10.9619</v>
      </c>
      <c r="J490" s="4">
        <f>CHOOSE( CONTROL!$C$29, 10.9276, 10.9235) * CHOOSE(CONTROL!$C$12, $D$11, 100%, $F$11)</f>
        <v>10.9276</v>
      </c>
      <c r="K490" s="4"/>
      <c r="L490" s="9">
        <v>28.568200000000001</v>
      </c>
      <c r="M490" s="9">
        <v>11.6745</v>
      </c>
      <c r="N490" s="9">
        <v>4.7850000000000001</v>
      </c>
      <c r="O490" s="9">
        <v>0.36249999999999999</v>
      </c>
      <c r="P490" s="9">
        <v>1.1798</v>
      </c>
      <c r="Q490" s="9">
        <v>19.1142</v>
      </c>
      <c r="R490" s="9"/>
      <c r="S490" s="11"/>
    </row>
    <row r="491" spans="1:19" ht="15.75">
      <c r="A491" s="13">
        <v>56826</v>
      </c>
      <c r="B491" s="8">
        <f>CHOOSE( CONTROL!$C$29, 11.8998, 11.8955) * CHOOSE(CONTROL!$C$12, $D$11, 100%, $F$11)</f>
        <v>11.899800000000001</v>
      </c>
      <c r="C491" s="8">
        <f>CHOOSE( CONTROL!$C$29, 11.9102, 11.906) * CHOOSE(CONTROL!$C$12, $D$11, 100%, $F$11)</f>
        <v>11.9102</v>
      </c>
      <c r="D491" s="8">
        <f>CHOOSE( CONTROL!$C$29, 11.9163, 11.9121) * CHOOSE( CONTROL!$C$12, $D$11, 100%, $F$11)</f>
        <v>11.9163</v>
      </c>
      <c r="E491" s="12">
        <f>CHOOSE( CONTROL!$C$29, 11.9125, 11.9083) * CHOOSE( CONTROL!$C$12, $D$11, 100%, $F$11)</f>
        <v>11.9125</v>
      </c>
      <c r="F491" s="4">
        <f>CHOOSE( CONTROL!$C$29, 12.9096, 12.9054) * CHOOSE(CONTROL!$C$12, $D$11, 100%, $F$11)</f>
        <v>12.909599999999999</v>
      </c>
      <c r="G491" s="8">
        <f>CHOOSE( CONTROL!$C$29, 11.6003, 11.5962) * CHOOSE( CONTROL!$C$12, $D$11, 100%, $F$11)</f>
        <v>11.600300000000001</v>
      </c>
      <c r="H491" s="4">
        <f>CHOOSE( CONTROL!$C$29, 12.5077, 12.5036) * CHOOSE(CONTROL!$C$12, $D$11, 100%, $F$11)</f>
        <v>12.5077</v>
      </c>
      <c r="I491" s="8">
        <f>CHOOSE( CONTROL!$C$29, 11.4875, 11.4834) * CHOOSE(CONTROL!$C$12, $D$11, 100%, $F$11)</f>
        <v>11.487500000000001</v>
      </c>
      <c r="J491" s="4">
        <f>CHOOSE( CONTROL!$C$29, 11.3976, 11.3935) * CHOOSE(CONTROL!$C$12, $D$11, 100%, $F$11)</f>
        <v>11.397600000000001</v>
      </c>
      <c r="K491" s="4"/>
      <c r="L491" s="9">
        <v>29.520499999999998</v>
      </c>
      <c r="M491" s="9">
        <v>12.063700000000001</v>
      </c>
      <c r="N491" s="9">
        <v>4.9444999999999997</v>
      </c>
      <c r="O491" s="9">
        <v>0.37459999999999999</v>
      </c>
      <c r="P491" s="9">
        <v>1.2192000000000001</v>
      </c>
      <c r="Q491" s="9">
        <v>19.751300000000001</v>
      </c>
      <c r="R491" s="9"/>
      <c r="S491" s="11"/>
    </row>
    <row r="492" spans="1:19" ht="15.75">
      <c r="A492" s="13">
        <v>56857</v>
      </c>
      <c r="B492" s="8">
        <f>CHOOSE( CONTROL!$C$29, 10.9819, 10.9777) * CHOOSE(CONTROL!$C$12, $D$11, 100%, $F$11)</f>
        <v>10.9819</v>
      </c>
      <c r="C492" s="8">
        <f>CHOOSE( CONTROL!$C$29, 10.9923, 10.9881) * CHOOSE(CONTROL!$C$12, $D$11, 100%, $F$11)</f>
        <v>10.9923</v>
      </c>
      <c r="D492" s="8">
        <f>CHOOSE( CONTROL!$C$29, 11.0149, 11.0107) * CHOOSE( CONTROL!$C$12, $D$11, 100%, $F$11)</f>
        <v>11.014900000000001</v>
      </c>
      <c r="E492" s="12">
        <f>CHOOSE( CONTROL!$C$29, 11.0051, 11.0009) * CHOOSE( CONTROL!$C$12, $D$11, 100%, $F$11)</f>
        <v>11.005100000000001</v>
      </c>
      <c r="F492" s="4">
        <f>CHOOSE( CONTROL!$C$29, 12.0205, 12.0162) * CHOOSE(CONTROL!$C$12, $D$11, 100%, $F$11)</f>
        <v>12.0205</v>
      </c>
      <c r="G492" s="8">
        <f>CHOOSE( CONTROL!$C$29, 10.7112, 10.7071) * CHOOSE( CONTROL!$C$12, $D$11, 100%, $F$11)</f>
        <v>10.7112</v>
      </c>
      <c r="H492" s="4">
        <f>CHOOSE( CONTROL!$C$29, 11.641, 11.6368) * CHOOSE(CONTROL!$C$12, $D$11, 100%, $F$11)</f>
        <v>11.641</v>
      </c>
      <c r="I492" s="8">
        <f>CHOOSE( CONTROL!$C$29, 10.599, 10.5949) * CHOOSE(CONTROL!$C$12, $D$11, 100%, $F$11)</f>
        <v>10.599</v>
      </c>
      <c r="J492" s="4">
        <f>CHOOSE( CONTROL!$C$29, 10.5181, 10.514) * CHOOSE(CONTROL!$C$12, $D$11, 100%, $F$11)</f>
        <v>10.5181</v>
      </c>
      <c r="K492" s="4"/>
      <c r="L492" s="9">
        <v>29.520499999999998</v>
      </c>
      <c r="M492" s="9">
        <v>12.063700000000001</v>
      </c>
      <c r="N492" s="9">
        <v>4.9444999999999997</v>
      </c>
      <c r="O492" s="9">
        <v>0.37459999999999999</v>
      </c>
      <c r="P492" s="9">
        <v>1.2192000000000001</v>
      </c>
      <c r="Q492" s="9">
        <v>19.751300000000001</v>
      </c>
      <c r="R492" s="9"/>
      <c r="S492" s="11"/>
    </row>
    <row r="493" spans="1:19" ht="15.75">
      <c r="A493" s="13">
        <v>56887</v>
      </c>
      <c r="B493" s="8">
        <f>CHOOSE( CONTROL!$C$29, 10.7521, 10.7478) * CHOOSE(CONTROL!$C$12, $D$11, 100%, $F$11)</f>
        <v>10.7521</v>
      </c>
      <c r="C493" s="8">
        <f>CHOOSE( CONTROL!$C$29, 10.7625, 10.7583) * CHOOSE(CONTROL!$C$12, $D$11, 100%, $F$11)</f>
        <v>10.762499999999999</v>
      </c>
      <c r="D493" s="8">
        <f>CHOOSE( CONTROL!$C$29, 10.7851, 10.7808) * CHOOSE( CONTROL!$C$12, $D$11, 100%, $F$11)</f>
        <v>10.7851</v>
      </c>
      <c r="E493" s="12">
        <f>CHOOSE( CONTROL!$C$29, 10.7753, 10.771) * CHOOSE( CONTROL!$C$12, $D$11, 100%, $F$11)</f>
        <v>10.7753</v>
      </c>
      <c r="F493" s="4">
        <f>CHOOSE( CONTROL!$C$29, 11.7906, 11.7864) * CHOOSE(CONTROL!$C$12, $D$11, 100%, $F$11)</f>
        <v>11.7906</v>
      </c>
      <c r="G493" s="8">
        <f>CHOOSE( CONTROL!$C$29, 10.4868, 10.4827) * CHOOSE( CONTROL!$C$12, $D$11, 100%, $F$11)</f>
        <v>10.486800000000001</v>
      </c>
      <c r="H493" s="4">
        <f>CHOOSE( CONTROL!$C$29, 11.4169, 11.4128) * CHOOSE(CONTROL!$C$12, $D$11, 100%, $F$11)</f>
        <v>11.4169</v>
      </c>
      <c r="I493" s="8">
        <f>CHOOSE( CONTROL!$C$29, 10.3769, 10.3729) * CHOOSE(CONTROL!$C$12, $D$11, 100%, $F$11)</f>
        <v>10.376899999999999</v>
      </c>
      <c r="J493" s="4">
        <f>CHOOSE( CONTROL!$C$29, 10.2979, 10.2938) * CHOOSE(CONTROL!$C$12, $D$11, 100%, $F$11)</f>
        <v>10.2979</v>
      </c>
      <c r="K493" s="4"/>
      <c r="L493" s="9">
        <v>28.568200000000001</v>
      </c>
      <c r="M493" s="9">
        <v>11.6745</v>
      </c>
      <c r="N493" s="9">
        <v>4.7850000000000001</v>
      </c>
      <c r="O493" s="9">
        <v>0.36249999999999999</v>
      </c>
      <c r="P493" s="9">
        <v>1.1798</v>
      </c>
      <c r="Q493" s="9">
        <v>19.1142</v>
      </c>
      <c r="R493" s="9"/>
      <c r="S493" s="11"/>
    </row>
    <row r="494" spans="1:19" ht="15.75">
      <c r="A494" s="13">
        <v>56918</v>
      </c>
      <c r="B494" s="8">
        <f>11.2251 * CHOOSE(CONTROL!$C$12, $D$11, 100%, $F$11)</f>
        <v>11.225099999999999</v>
      </c>
      <c r="C494" s="8">
        <f>11.2355 * CHOOSE(CONTROL!$C$12, $D$11, 100%, $F$11)</f>
        <v>11.2355</v>
      </c>
      <c r="D494" s="8">
        <f>11.2399 * CHOOSE( CONTROL!$C$12, $D$11, 100%, $F$11)</f>
        <v>11.2399</v>
      </c>
      <c r="E494" s="12">
        <f>11.2373 * CHOOSE( CONTROL!$C$12, $D$11, 100%, $F$11)</f>
        <v>11.237299999999999</v>
      </c>
      <c r="F494" s="4">
        <f>12.2323 * CHOOSE(CONTROL!$C$12, $D$11, 100%, $F$11)</f>
        <v>12.2323</v>
      </c>
      <c r="G494" s="8">
        <f>10.9382 * CHOOSE( CONTROL!$C$12, $D$11, 100%, $F$11)</f>
        <v>10.9382</v>
      </c>
      <c r="H494" s="4">
        <f>11.8475 * CHOOSE(CONTROL!$C$12, $D$11, 100%, $F$11)</f>
        <v>11.8475</v>
      </c>
      <c r="I494" s="8">
        <f>10.827 * CHOOSE(CONTROL!$C$12, $D$11, 100%, $F$11)</f>
        <v>10.827</v>
      </c>
      <c r="J494" s="4">
        <f>10.7511 * CHOOSE(CONTROL!$C$12, $D$11, 100%, $F$11)</f>
        <v>10.751099999999999</v>
      </c>
      <c r="K494" s="4"/>
      <c r="L494" s="9">
        <v>28.921800000000001</v>
      </c>
      <c r="M494" s="9">
        <v>12.063700000000001</v>
      </c>
      <c r="N494" s="9">
        <v>4.9444999999999997</v>
      </c>
      <c r="O494" s="9">
        <v>0.37459999999999999</v>
      </c>
      <c r="P494" s="9">
        <v>1.2192000000000001</v>
      </c>
      <c r="Q494" s="9">
        <v>19.751300000000001</v>
      </c>
      <c r="R494" s="9"/>
      <c r="S494" s="11"/>
    </row>
    <row r="495" spans="1:19" ht="15.75">
      <c r="A495" s="13">
        <v>56948</v>
      </c>
      <c r="B495" s="8">
        <f>12.1059 * CHOOSE(CONTROL!$C$12, $D$11, 100%, $F$11)</f>
        <v>12.1059</v>
      </c>
      <c r="C495" s="8">
        <f>12.1164 * CHOOSE(CONTROL!$C$12, $D$11, 100%, $F$11)</f>
        <v>12.116400000000001</v>
      </c>
      <c r="D495" s="8">
        <f>12.0988 * CHOOSE( CONTROL!$C$12, $D$11, 100%, $F$11)</f>
        <v>12.098800000000001</v>
      </c>
      <c r="E495" s="12">
        <f>12.1041 * CHOOSE( CONTROL!$C$12, $D$11, 100%, $F$11)</f>
        <v>12.104100000000001</v>
      </c>
      <c r="F495" s="4">
        <f>13.1001 * CHOOSE(CONTROL!$C$12, $D$11, 100%, $F$11)</f>
        <v>13.100099999999999</v>
      </c>
      <c r="G495" s="8">
        <f>11.8093 * CHOOSE( CONTROL!$C$12, $D$11, 100%, $F$11)</f>
        <v>11.8093</v>
      </c>
      <c r="H495" s="4">
        <f>12.6934 * CHOOSE(CONTROL!$C$12, $D$11, 100%, $F$11)</f>
        <v>12.6934</v>
      </c>
      <c r="I495" s="8">
        <f>11.695 * CHOOSE(CONTROL!$C$12, $D$11, 100%, $F$11)</f>
        <v>11.695</v>
      </c>
      <c r="J495" s="4">
        <f>11.5952 * CHOOSE(CONTROL!$C$12, $D$11, 100%, $F$11)</f>
        <v>11.5952</v>
      </c>
      <c r="K495" s="4"/>
      <c r="L495" s="9">
        <v>26.515499999999999</v>
      </c>
      <c r="M495" s="9">
        <v>11.6745</v>
      </c>
      <c r="N495" s="9">
        <v>4.7850000000000001</v>
      </c>
      <c r="O495" s="9">
        <v>0.36249999999999999</v>
      </c>
      <c r="P495" s="9">
        <v>1.2522</v>
      </c>
      <c r="Q495" s="9">
        <v>19.1142</v>
      </c>
      <c r="R495" s="9"/>
      <c r="S495" s="11"/>
    </row>
    <row r="496" spans="1:19" ht="15.75">
      <c r="A496" s="13">
        <v>56979</v>
      </c>
      <c r="B496" s="8">
        <f>12.0839 * CHOOSE(CONTROL!$C$12, $D$11, 100%, $F$11)</f>
        <v>12.0839</v>
      </c>
      <c r="C496" s="8">
        <f>12.0944 * CHOOSE(CONTROL!$C$12, $D$11, 100%, $F$11)</f>
        <v>12.0944</v>
      </c>
      <c r="D496" s="8">
        <f>12.0788 * CHOOSE( CONTROL!$C$12, $D$11, 100%, $F$11)</f>
        <v>12.078799999999999</v>
      </c>
      <c r="E496" s="12">
        <f>12.0834 * CHOOSE( CONTROL!$C$12, $D$11, 100%, $F$11)</f>
        <v>12.083399999999999</v>
      </c>
      <c r="F496" s="4">
        <f>13.0781 * CHOOSE(CONTROL!$C$12, $D$11, 100%, $F$11)</f>
        <v>13.078099999999999</v>
      </c>
      <c r="G496" s="8">
        <f>11.7894 * CHOOSE( CONTROL!$C$12, $D$11, 100%, $F$11)</f>
        <v>11.789400000000001</v>
      </c>
      <c r="H496" s="4">
        <f>12.672 * CHOOSE(CONTROL!$C$12, $D$11, 100%, $F$11)</f>
        <v>12.672000000000001</v>
      </c>
      <c r="I496" s="8">
        <f>11.6811 * CHOOSE(CONTROL!$C$12, $D$11, 100%, $F$11)</f>
        <v>11.681100000000001</v>
      </c>
      <c r="J496" s="4">
        <f>11.5741 * CHOOSE(CONTROL!$C$12, $D$11, 100%, $F$11)</f>
        <v>11.5741</v>
      </c>
      <c r="K496" s="4"/>
      <c r="L496" s="9">
        <v>27.3993</v>
      </c>
      <c r="M496" s="9">
        <v>12.063700000000001</v>
      </c>
      <c r="N496" s="9">
        <v>4.9444999999999997</v>
      </c>
      <c r="O496" s="9">
        <v>0.37459999999999999</v>
      </c>
      <c r="P496" s="9">
        <v>1.2939000000000001</v>
      </c>
      <c r="Q496" s="9">
        <v>19.751300000000001</v>
      </c>
      <c r="R496" s="9"/>
      <c r="S496" s="11"/>
    </row>
    <row r="497" spans="1:19" ht="15.75">
      <c r="A497" s="13">
        <v>57010</v>
      </c>
      <c r="B497" s="8">
        <f>12.5456 * CHOOSE(CONTROL!$C$12, $D$11, 100%, $F$11)</f>
        <v>12.5456</v>
      </c>
      <c r="C497" s="8">
        <f>12.556 * CHOOSE(CONTROL!$C$12, $D$11, 100%, $F$11)</f>
        <v>12.555999999999999</v>
      </c>
      <c r="D497" s="8">
        <f>12.5537 * CHOOSE( CONTROL!$C$12, $D$11, 100%, $F$11)</f>
        <v>12.553699999999999</v>
      </c>
      <c r="E497" s="12">
        <f>12.5534 * CHOOSE( CONTROL!$C$12, $D$11, 100%, $F$11)</f>
        <v>12.5534</v>
      </c>
      <c r="F497" s="4">
        <f>13.5685 * CHOOSE(CONTROL!$C$12, $D$11, 100%, $F$11)</f>
        <v>13.5685</v>
      </c>
      <c r="G497" s="8">
        <f>12.2566 * CHOOSE( CONTROL!$C$12, $D$11, 100%, $F$11)</f>
        <v>12.256600000000001</v>
      </c>
      <c r="H497" s="4">
        <f>13.1499 * CHOOSE(CONTROL!$C$12, $D$11, 100%, $F$11)</f>
        <v>13.149900000000001</v>
      </c>
      <c r="I497" s="8">
        <f>12.131 * CHOOSE(CONTROL!$C$12, $D$11, 100%, $F$11)</f>
        <v>12.131</v>
      </c>
      <c r="J497" s="4">
        <f>12.0164 * CHOOSE(CONTROL!$C$12, $D$11, 100%, $F$11)</f>
        <v>12.016400000000001</v>
      </c>
      <c r="K497" s="4"/>
      <c r="L497" s="9">
        <v>27.3993</v>
      </c>
      <c r="M497" s="9">
        <v>12.063700000000001</v>
      </c>
      <c r="N497" s="9">
        <v>4.9444999999999997</v>
      </c>
      <c r="O497" s="9">
        <v>0.37459999999999999</v>
      </c>
      <c r="P497" s="9">
        <v>1.2939000000000001</v>
      </c>
      <c r="Q497" s="9">
        <v>19.688099999999999</v>
      </c>
      <c r="R497" s="9"/>
      <c r="S497" s="11"/>
    </row>
    <row r="498" spans="1:19" ht="15.75">
      <c r="A498" s="13">
        <v>57038</v>
      </c>
      <c r="B498" s="8">
        <f>11.7349 * CHOOSE(CONTROL!$C$12, $D$11, 100%, $F$11)</f>
        <v>11.7349</v>
      </c>
      <c r="C498" s="8">
        <f>11.7453 * CHOOSE(CONTROL!$C$12, $D$11, 100%, $F$11)</f>
        <v>11.7453</v>
      </c>
      <c r="D498" s="8">
        <f>11.7453 * CHOOSE( CONTROL!$C$12, $D$11, 100%, $F$11)</f>
        <v>11.7453</v>
      </c>
      <c r="E498" s="12">
        <f>11.7442 * CHOOSE( CONTROL!$C$12, $D$11, 100%, $F$11)</f>
        <v>11.744199999999999</v>
      </c>
      <c r="F498" s="4">
        <f>12.7499 * CHOOSE(CONTROL!$C$12, $D$11, 100%, $F$11)</f>
        <v>12.7499</v>
      </c>
      <c r="G498" s="8">
        <f>11.4661 * CHOOSE( CONTROL!$C$12, $D$11, 100%, $F$11)</f>
        <v>11.466100000000001</v>
      </c>
      <c r="H498" s="4">
        <f>12.352 * CHOOSE(CONTROL!$C$12, $D$11, 100%, $F$11)</f>
        <v>12.352</v>
      </c>
      <c r="I498" s="8">
        <f>11.3429 * CHOOSE(CONTROL!$C$12, $D$11, 100%, $F$11)</f>
        <v>11.3429</v>
      </c>
      <c r="J498" s="4">
        <f>11.2396 * CHOOSE(CONTROL!$C$12, $D$11, 100%, $F$11)</f>
        <v>11.239599999999999</v>
      </c>
      <c r="K498" s="4"/>
      <c r="L498" s="9">
        <v>25.631599999999999</v>
      </c>
      <c r="M498" s="9">
        <v>11.285299999999999</v>
      </c>
      <c r="N498" s="9">
        <v>4.6254999999999997</v>
      </c>
      <c r="O498" s="9">
        <v>0.35039999999999999</v>
      </c>
      <c r="P498" s="9">
        <v>1.2104999999999999</v>
      </c>
      <c r="Q498" s="9">
        <v>18.417899999999999</v>
      </c>
      <c r="R498" s="9"/>
      <c r="S498" s="11"/>
    </row>
    <row r="499" spans="1:19" ht="15.75">
      <c r="A499" s="13">
        <v>57070</v>
      </c>
      <c r="B499" s="8">
        <f>11.4852 * CHOOSE(CONTROL!$C$12, $D$11, 100%, $F$11)</f>
        <v>11.485200000000001</v>
      </c>
      <c r="C499" s="8">
        <f>11.4956 * CHOOSE(CONTROL!$C$12, $D$11, 100%, $F$11)</f>
        <v>11.4956</v>
      </c>
      <c r="D499" s="8">
        <f>11.4754 * CHOOSE( CONTROL!$C$12, $D$11, 100%, $F$11)</f>
        <v>11.4754</v>
      </c>
      <c r="E499" s="12">
        <f>11.4817 * CHOOSE( CONTROL!$C$12, $D$11, 100%, $F$11)</f>
        <v>11.4817</v>
      </c>
      <c r="F499" s="4">
        <f>12.4841 * CHOOSE(CONTROL!$C$12, $D$11, 100%, $F$11)</f>
        <v>12.4841</v>
      </c>
      <c r="G499" s="8">
        <f>11.2023 * CHOOSE( CONTROL!$C$12, $D$11, 100%, $F$11)</f>
        <v>11.202299999999999</v>
      </c>
      <c r="H499" s="4">
        <f>12.0929 * CHOOSE(CONTROL!$C$12, $D$11, 100%, $F$11)</f>
        <v>12.0929</v>
      </c>
      <c r="I499" s="8">
        <f>11.064 * CHOOSE(CONTROL!$C$12, $D$11, 100%, $F$11)</f>
        <v>11.064</v>
      </c>
      <c r="J499" s="4">
        <f>11.0003 * CHOOSE(CONTROL!$C$12, $D$11, 100%, $F$11)</f>
        <v>11.000299999999999</v>
      </c>
      <c r="K499" s="4"/>
      <c r="L499" s="9">
        <v>27.3993</v>
      </c>
      <c r="M499" s="9">
        <v>12.063700000000001</v>
      </c>
      <c r="N499" s="9">
        <v>4.9444999999999997</v>
      </c>
      <c r="O499" s="9">
        <v>0.37459999999999999</v>
      </c>
      <c r="P499" s="9">
        <v>1.2939000000000001</v>
      </c>
      <c r="Q499" s="9">
        <v>19.688099999999999</v>
      </c>
      <c r="R499" s="9"/>
      <c r="S499" s="11"/>
    </row>
    <row r="500" spans="1:19" ht="15.75">
      <c r="A500" s="13">
        <v>57100</v>
      </c>
      <c r="B500" s="8">
        <f>11.6596 * CHOOSE(CONTROL!$C$12, $D$11, 100%, $F$11)</f>
        <v>11.659599999999999</v>
      </c>
      <c r="C500" s="8">
        <f>11.6701 * CHOOSE(CONTROL!$C$12, $D$11, 100%, $F$11)</f>
        <v>11.6701</v>
      </c>
      <c r="D500" s="8">
        <f>11.6733 * CHOOSE( CONTROL!$C$12, $D$11, 100%, $F$11)</f>
        <v>11.673299999999999</v>
      </c>
      <c r="E500" s="12">
        <f>11.671 * CHOOSE( CONTROL!$C$12, $D$11, 100%, $F$11)</f>
        <v>11.670999999999999</v>
      </c>
      <c r="F500" s="4">
        <f>12.6669 * CHOOSE(CONTROL!$C$12, $D$11, 100%, $F$11)</f>
        <v>12.6669</v>
      </c>
      <c r="G500" s="8">
        <f>11.3602 * CHOOSE( CONTROL!$C$12, $D$11, 100%, $F$11)</f>
        <v>11.360200000000001</v>
      </c>
      <c r="H500" s="4">
        <f>12.2711 * CHOOSE(CONTROL!$C$12, $D$11, 100%, $F$11)</f>
        <v>12.271100000000001</v>
      </c>
      <c r="I500" s="8">
        <f>11.2213 * CHOOSE(CONTROL!$C$12, $D$11, 100%, $F$11)</f>
        <v>11.221299999999999</v>
      </c>
      <c r="J500" s="4">
        <f>11.1675 * CHOOSE(CONTROL!$C$12, $D$11, 100%, $F$11)</f>
        <v>11.1675</v>
      </c>
      <c r="K500" s="4"/>
      <c r="L500" s="9">
        <v>27.988800000000001</v>
      </c>
      <c r="M500" s="9">
        <v>11.6745</v>
      </c>
      <c r="N500" s="9">
        <v>4.7850000000000001</v>
      </c>
      <c r="O500" s="9">
        <v>0.36249999999999999</v>
      </c>
      <c r="P500" s="9">
        <v>1.1798</v>
      </c>
      <c r="Q500" s="9">
        <v>19.053000000000001</v>
      </c>
      <c r="R500" s="9"/>
      <c r="S500" s="11"/>
    </row>
    <row r="501" spans="1:19" ht="15.75">
      <c r="A501" s="13">
        <v>57131</v>
      </c>
      <c r="B501" s="8">
        <f>CHOOSE( CONTROL!$C$29, 11.9744, 11.9702) * CHOOSE(CONTROL!$C$12, $D$11, 100%, $F$11)</f>
        <v>11.974399999999999</v>
      </c>
      <c r="C501" s="8">
        <f>CHOOSE( CONTROL!$C$29, 11.9849, 11.9806) * CHOOSE(CONTROL!$C$12, $D$11, 100%, $F$11)</f>
        <v>11.9849</v>
      </c>
      <c r="D501" s="8">
        <f>CHOOSE( CONTROL!$C$29, 11.9628, 11.9585) * CHOOSE( CONTROL!$C$12, $D$11, 100%, $F$11)</f>
        <v>11.9628</v>
      </c>
      <c r="E501" s="12">
        <f>CHOOSE( CONTROL!$C$29, 11.9692, 11.9649) * CHOOSE( CONTROL!$C$12, $D$11, 100%, $F$11)</f>
        <v>11.969200000000001</v>
      </c>
      <c r="F501" s="4">
        <f>CHOOSE( CONTROL!$C$29, 12.9493, 12.9451) * CHOOSE(CONTROL!$C$12, $D$11, 100%, $F$11)</f>
        <v>12.949299999999999</v>
      </c>
      <c r="G501" s="8">
        <f>CHOOSE( CONTROL!$C$29, 11.6483, 11.6442) * CHOOSE( CONTROL!$C$12, $D$11, 100%, $F$11)</f>
        <v>11.648300000000001</v>
      </c>
      <c r="H501" s="4">
        <f>CHOOSE( CONTROL!$C$29, 12.5464, 12.5423) * CHOOSE(CONTROL!$C$12, $D$11, 100%, $F$11)</f>
        <v>12.5464</v>
      </c>
      <c r="I501" s="8">
        <f>CHOOSE( CONTROL!$C$29, 11.5016, 11.4975) * CHOOSE(CONTROL!$C$12, $D$11, 100%, $F$11)</f>
        <v>11.5016</v>
      </c>
      <c r="J501" s="4">
        <f>CHOOSE( CONTROL!$C$29, 11.4691, 11.4651) * CHOOSE(CONTROL!$C$12, $D$11, 100%, $F$11)</f>
        <v>11.469099999999999</v>
      </c>
      <c r="K501" s="4"/>
      <c r="L501" s="9">
        <v>29.520499999999998</v>
      </c>
      <c r="M501" s="9">
        <v>12.063700000000001</v>
      </c>
      <c r="N501" s="9">
        <v>4.9444999999999997</v>
      </c>
      <c r="O501" s="9">
        <v>0.37459999999999999</v>
      </c>
      <c r="P501" s="9">
        <v>1.2192000000000001</v>
      </c>
      <c r="Q501" s="9">
        <v>19.688099999999999</v>
      </c>
      <c r="R501" s="9"/>
      <c r="S501" s="11"/>
    </row>
    <row r="502" spans="1:19" ht="15.75">
      <c r="A502" s="13">
        <v>57161</v>
      </c>
      <c r="B502" s="8">
        <f>CHOOSE( CONTROL!$C$29, 11.7821, 11.7778) * CHOOSE(CONTROL!$C$12, $D$11, 100%, $F$11)</f>
        <v>11.7821</v>
      </c>
      <c r="C502" s="8">
        <f>CHOOSE( CONTROL!$C$29, 11.7925, 11.7882) * CHOOSE(CONTROL!$C$12, $D$11, 100%, $F$11)</f>
        <v>11.7925</v>
      </c>
      <c r="D502" s="8">
        <f>CHOOSE( CONTROL!$C$29, 11.7648, 11.7606) * CHOOSE( CONTROL!$C$12, $D$11, 100%, $F$11)</f>
        <v>11.764799999999999</v>
      </c>
      <c r="E502" s="12">
        <f>CHOOSE( CONTROL!$C$29, 11.7733, 11.769) * CHOOSE( CONTROL!$C$12, $D$11, 100%, $F$11)</f>
        <v>11.773300000000001</v>
      </c>
      <c r="F502" s="4">
        <f>CHOOSE( CONTROL!$C$29, 12.7465, 12.7423) * CHOOSE(CONTROL!$C$12, $D$11, 100%, $F$11)</f>
        <v>12.746499999999999</v>
      </c>
      <c r="G502" s="8">
        <f>CHOOSE( CONTROL!$C$29, 11.4595, 11.4554) * CHOOSE( CONTROL!$C$12, $D$11, 100%, $F$11)</f>
        <v>11.4595</v>
      </c>
      <c r="H502" s="4">
        <f>CHOOSE( CONTROL!$C$29, 12.3487, 12.3446) * CHOOSE(CONTROL!$C$12, $D$11, 100%, $F$11)</f>
        <v>12.348699999999999</v>
      </c>
      <c r="I502" s="8">
        <f>CHOOSE( CONTROL!$C$29, 11.3193, 11.3152) * CHOOSE(CONTROL!$C$12, $D$11, 100%, $F$11)</f>
        <v>11.3193</v>
      </c>
      <c r="J502" s="4">
        <f>CHOOSE( CONTROL!$C$29, 11.2848, 11.2807) * CHOOSE(CONTROL!$C$12, $D$11, 100%, $F$11)</f>
        <v>11.284800000000001</v>
      </c>
      <c r="K502" s="4"/>
      <c r="L502" s="9">
        <v>28.568200000000001</v>
      </c>
      <c r="M502" s="9">
        <v>11.6745</v>
      </c>
      <c r="N502" s="9">
        <v>4.7850000000000001</v>
      </c>
      <c r="O502" s="9">
        <v>0.36249999999999999</v>
      </c>
      <c r="P502" s="9">
        <v>1.1798</v>
      </c>
      <c r="Q502" s="9">
        <v>19.053000000000001</v>
      </c>
      <c r="R502" s="9"/>
      <c r="S502" s="11"/>
    </row>
    <row r="503" spans="1:19" ht="15.75">
      <c r="A503" s="13">
        <v>57192</v>
      </c>
      <c r="B503" s="8">
        <f>CHOOSE( CONTROL!$C$29, 12.2886, 12.2844) * CHOOSE(CONTROL!$C$12, $D$11, 100%, $F$11)</f>
        <v>12.288600000000001</v>
      </c>
      <c r="C503" s="8">
        <f>CHOOSE( CONTROL!$C$29, 12.2991, 12.2948) * CHOOSE(CONTROL!$C$12, $D$11, 100%, $F$11)</f>
        <v>12.299099999999999</v>
      </c>
      <c r="D503" s="8">
        <f>CHOOSE( CONTROL!$C$29, 12.3052, 12.301) * CHOOSE( CONTROL!$C$12, $D$11, 100%, $F$11)</f>
        <v>12.305199999999999</v>
      </c>
      <c r="E503" s="12">
        <f>CHOOSE( CONTROL!$C$29, 12.3014, 12.2972) * CHOOSE( CONTROL!$C$12, $D$11, 100%, $F$11)</f>
        <v>12.301399999999999</v>
      </c>
      <c r="F503" s="4">
        <f>CHOOSE( CONTROL!$C$29, 13.2985, 13.2943) * CHOOSE(CONTROL!$C$12, $D$11, 100%, $F$11)</f>
        <v>13.298500000000001</v>
      </c>
      <c r="G503" s="8">
        <f>CHOOSE( CONTROL!$C$29, 11.9794, 11.9752) * CHOOSE( CONTROL!$C$12, $D$11, 100%, $F$11)</f>
        <v>11.9794</v>
      </c>
      <c r="H503" s="4">
        <f>CHOOSE( CONTROL!$C$29, 12.8868, 12.8826) * CHOOSE(CONTROL!$C$12, $D$11, 100%, $F$11)</f>
        <v>12.886799999999999</v>
      </c>
      <c r="I503" s="8">
        <f>CHOOSE( CONTROL!$C$29, 11.8603, 11.8562) * CHOOSE(CONTROL!$C$12, $D$11, 100%, $F$11)</f>
        <v>11.860300000000001</v>
      </c>
      <c r="J503" s="4">
        <f>CHOOSE( CONTROL!$C$29, 11.7702, 11.7662) * CHOOSE(CONTROL!$C$12, $D$11, 100%, $F$11)</f>
        <v>11.770200000000001</v>
      </c>
      <c r="K503" s="4"/>
      <c r="L503" s="9">
        <v>29.520499999999998</v>
      </c>
      <c r="M503" s="9">
        <v>12.063700000000001</v>
      </c>
      <c r="N503" s="9">
        <v>4.9444999999999997</v>
      </c>
      <c r="O503" s="9">
        <v>0.37459999999999999</v>
      </c>
      <c r="P503" s="9">
        <v>1.2192000000000001</v>
      </c>
      <c r="Q503" s="9">
        <v>19.688099999999999</v>
      </c>
      <c r="R503" s="9"/>
      <c r="S503" s="11"/>
    </row>
    <row r="504" spans="1:19" ht="15.75">
      <c r="A504" s="13">
        <v>57223</v>
      </c>
      <c r="B504" s="8">
        <f>CHOOSE( CONTROL!$C$29, 11.3408, 11.3365) * CHOOSE(CONTROL!$C$12, $D$11, 100%, $F$11)</f>
        <v>11.3408</v>
      </c>
      <c r="C504" s="8">
        <f>CHOOSE( CONTROL!$C$29, 11.3512, 11.347) * CHOOSE(CONTROL!$C$12, $D$11, 100%, $F$11)</f>
        <v>11.3512</v>
      </c>
      <c r="D504" s="8">
        <f>CHOOSE( CONTROL!$C$29, 11.3738, 11.3695) * CHOOSE( CONTROL!$C$12, $D$11, 100%, $F$11)</f>
        <v>11.373799999999999</v>
      </c>
      <c r="E504" s="12">
        <f>CHOOSE( CONTROL!$C$29, 11.364, 11.3597) * CHOOSE( CONTROL!$C$12, $D$11, 100%, $F$11)</f>
        <v>11.364000000000001</v>
      </c>
      <c r="F504" s="4">
        <f>CHOOSE( CONTROL!$C$29, 12.3793, 12.3751) * CHOOSE(CONTROL!$C$12, $D$11, 100%, $F$11)</f>
        <v>12.379300000000001</v>
      </c>
      <c r="G504" s="8">
        <f>CHOOSE( CONTROL!$C$29, 11.061, 11.0569) * CHOOSE( CONTROL!$C$12, $D$11, 100%, $F$11)</f>
        <v>11.061</v>
      </c>
      <c r="H504" s="4">
        <f>CHOOSE( CONTROL!$C$29, 11.9908, 11.9866) * CHOOSE(CONTROL!$C$12, $D$11, 100%, $F$11)</f>
        <v>11.9908</v>
      </c>
      <c r="I504" s="8">
        <f>CHOOSE( CONTROL!$C$29, 10.943, 10.9389) * CHOOSE(CONTROL!$C$12, $D$11, 100%, $F$11)</f>
        <v>10.943</v>
      </c>
      <c r="J504" s="4">
        <f>CHOOSE( CONTROL!$C$29, 10.862, 10.8579) * CHOOSE(CONTROL!$C$12, $D$11, 100%, $F$11)</f>
        <v>10.862</v>
      </c>
      <c r="K504" s="4"/>
      <c r="L504" s="9">
        <v>29.520499999999998</v>
      </c>
      <c r="M504" s="9">
        <v>12.063700000000001</v>
      </c>
      <c r="N504" s="9">
        <v>4.9444999999999997</v>
      </c>
      <c r="O504" s="9">
        <v>0.37459999999999999</v>
      </c>
      <c r="P504" s="9">
        <v>1.2192000000000001</v>
      </c>
      <c r="Q504" s="9">
        <v>19.688099999999999</v>
      </c>
      <c r="R504" s="9"/>
      <c r="S504" s="11"/>
    </row>
    <row r="505" spans="1:19" ht="15.75">
      <c r="A505" s="13">
        <v>57253</v>
      </c>
      <c r="B505" s="8">
        <f>CHOOSE( CONTROL!$C$29, 11.1034, 11.0992) * CHOOSE(CONTROL!$C$12, $D$11, 100%, $F$11)</f>
        <v>11.103400000000001</v>
      </c>
      <c r="C505" s="8">
        <f>CHOOSE( CONTROL!$C$29, 11.1138, 11.1096) * CHOOSE(CONTROL!$C$12, $D$11, 100%, $F$11)</f>
        <v>11.113799999999999</v>
      </c>
      <c r="D505" s="8">
        <f>CHOOSE( CONTROL!$C$29, 11.1364, 11.1322) * CHOOSE( CONTROL!$C$12, $D$11, 100%, $F$11)</f>
        <v>11.1364</v>
      </c>
      <c r="E505" s="12">
        <f>CHOOSE( CONTROL!$C$29, 11.1266, 11.1224) * CHOOSE( CONTROL!$C$12, $D$11, 100%, $F$11)</f>
        <v>11.1266</v>
      </c>
      <c r="F505" s="4">
        <f>CHOOSE( CONTROL!$C$29, 12.142, 12.1377) * CHOOSE(CONTROL!$C$12, $D$11, 100%, $F$11)</f>
        <v>12.141999999999999</v>
      </c>
      <c r="G505" s="8">
        <f>CHOOSE( CONTROL!$C$29, 10.8293, 10.8252) * CHOOSE( CONTROL!$C$12, $D$11, 100%, $F$11)</f>
        <v>10.8293</v>
      </c>
      <c r="H505" s="4">
        <f>CHOOSE( CONTROL!$C$29, 11.7594, 11.7553) * CHOOSE(CONTROL!$C$12, $D$11, 100%, $F$11)</f>
        <v>11.759399999999999</v>
      </c>
      <c r="I505" s="8">
        <f>CHOOSE( CONTROL!$C$29, 10.7137, 10.7097) * CHOOSE(CONTROL!$C$12, $D$11, 100%, $F$11)</f>
        <v>10.713699999999999</v>
      </c>
      <c r="J505" s="4">
        <f>CHOOSE( CONTROL!$C$29, 10.6345, 10.6305) * CHOOSE(CONTROL!$C$12, $D$11, 100%, $F$11)</f>
        <v>10.634499999999999</v>
      </c>
      <c r="K505" s="4"/>
      <c r="L505" s="9">
        <v>28.568200000000001</v>
      </c>
      <c r="M505" s="9">
        <v>11.6745</v>
      </c>
      <c r="N505" s="9">
        <v>4.7850000000000001</v>
      </c>
      <c r="O505" s="9">
        <v>0.36249999999999999</v>
      </c>
      <c r="P505" s="9">
        <v>1.1798</v>
      </c>
      <c r="Q505" s="9">
        <v>19.053000000000001</v>
      </c>
      <c r="R505" s="9"/>
      <c r="S505" s="11"/>
    </row>
    <row r="506" spans="1:19" ht="15.75">
      <c r="A506" s="13">
        <v>57284</v>
      </c>
      <c r="B506" s="8">
        <f>11.592 * CHOOSE(CONTROL!$C$12, $D$11, 100%, $F$11)</f>
        <v>11.592000000000001</v>
      </c>
      <c r="C506" s="8">
        <f>11.6024 * CHOOSE(CONTROL!$C$12, $D$11, 100%, $F$11)</f>
        <v>11.602399999999999</v>
      </c>
      <c r="D506" s="8">
        <f>11.6069 * CHOOSE( CONTROL!$C$12, $D$11, 100%, $F$11)</f>
        <v>11.6069</v>
      </c>
      <c r="E506" s="12">
        <f>11.6043 * CHOOSE( CONTROL!$C$12, $D$11, 100%, $F$11)</f>
        <v>11.6043</v>
      </c>
      <c r="F506" s="4">
        <f>12.5993 * CHOOSE(CONTROL!$C$12, $D$11, 100%, $F$11)</f>
        <v>12.599299999999999</v>
      </c>
      <c r="G506" s="8">
        <f>11.2959 * CHOOSE( CONTROL!$C$12, $D$11, 100%, $F$11)</f>
        <v>11.2959</v>
      </c>
      <c r="H506" s="4">
        <f>12.2051 * CHOOSE(CONTROL!$C$12, $D$11, 100%, $F$11)</f>
        <v>12.2051</v>
      </c>
      <c r="I506" s="8">
        <f>11.1788 * CHOOSE(CONTROL!$C$12, $D$11, 100%, $F$11)</f>
        <v>11.178800000000001</v>
      </c>
      <c r="J506" s="4">
        <f>11.1027 * CHOOSE(CONTROL!$C$12, $D$11, 100%, $F$11)</f>
        <v>11.1027</v>
      </c>
      <c r="K506" s="4"/>
      <c r="L506" s="9">
        <v>28.921800000000001</v>
      </c>
      <c r="M506" s="9">
        <v>12.063700000000001</v>
      </c>
      <c r="N506" s="9">
        <v>4.9444999999999997</v>
      </c>
      <c r="O506" s="9">
        <v>0.37459999999999999</v>
      </c>
      <c r="P506" s="9">
        <v>1.2192000000000001</v>
      </c>
      <c r="Q506" s="9">
        <v>19.688099999999999</v>
      </c>
      <c r="R506" s="9"/>
      <c r="S506" s="11"/>
    </row>
    <row r="507" spans="1:19" ht="15.75">
      <c r="A507" s="13">
        <v>57314</v>
      </c>
      <c r="B507" s="8">
        <f>12.5017 * CHOOSE(CONTROL!$C$12, $D$11, 100%, $F$11)</f>
        <v>12.5017</v>
      </c>
      <c r="C507" s="8">
        <f>12.5121 * CHOOSE(CONTROL!$C$12, $D$11, 100%, $F$11)</f>
        <v>12.5121</v>
      </c>
      <c r="D507" s="8">
        <f>12.4945 * CHOOSE( CONTROL!$C$12, $D$11, 100%, $F$11)</f>
        <v>12.4945</v>
      </c>
      <c r="E507" s="12">
        <f>12.4998 * CHOOSE( CONTROL!$C$12, $D$11, 100%, $F$11)</f>
        <v>12.4998</v>
      </c>
      <c r="F507" s="4">
        <f>13.4959 * CHOOSE(CONTROL!$C$12, $D$11, 100%, $F$11)</f>
        <v>13.495900000000001</v>
      </c>
      <c r="G507" s="8">
        <f>12.1951 * CHOOSE( CONTROL!$C$12, $D$11, 100%, $F$11)</f>
        <v>12.1951</v>
      </c>
      <c r="H507" s="4">
        <f>13.0792 * CHOOSE(CONTROL!$C$12, $D$11, 100%, $F$11)</f>
        <v>13.0792</v>
      </c>
      <c r="I507" s="8">
        <f>12.0743 * CHOOSE(CONTROL!$C$12, $D$11, 100%, $F$11)</f>
        <v>12.074299999999999</v>
      </c>
      <c r="J507" s="4">
        <f>11.9744 * CHOOSE(CONTROL!$C$12, $D$11, 100%, $F$11)</f>
        <v>11.974399999999999</v>
      </c>
      <c r="K507" s="4"/>
      <c r="L507" s="9">
        <v>26.515499999999999</v>
      </c>
      <c r="M507" s="9">
        <v>11.6745</v>
      </c>
      <c r="N507" s="9">
        <v>4.7850000000000001</v>
      </c>
      <c r="O507" s="9">
        <v>0.36249999999999999</v>
      </c>
      <c r="P507" s="9">
        <v>1.2522</v>
      </c>
      <c r="Q507" s="9">
        <v>19.053000000000001</v>
      </c>
      <c r="R507" s="9"/>
      <c r="S507" s="11"/>
    </row>
    <row r="508" spans="1:19" ht="15.75">
      <c r="A508" s="13">
        <v>57345</v>
      </c>
      <c r="B508" s="8">
        <f>12.479 * CHOOSE(CONTROL!$C$12, $D$11, 100%, $F$11)</f>
        <v>12.478999999999999</v>
      </c>
      <c r="C508" s="8">
        <f>12.4894 * CHOOSE(CONTROL!$C$12, $D$11, 100%, $F$11)</f>
        <v>12.4894</v>
      </c>
      <c r="D508" s="8">
        <f>12.4738 * CHOOSE( CONTROL!$C$12, $D$11, 100%, $F$11)</f>
        <v>12.473800000000001</v>
      </c>
      <c r="E508" s="12">
        <f>12.4784 * CHOOSE( CONTROL!$C$12, $D$11, 100%, $F$11)</f>
        <v>12.478400000000001</v>
      </c>
      <c r="F508" s="4">
        <f>13.4732 * CHOOSE(CONTROL!$C$12, $D$11, 100%, $F$11)</f>
        <v>13.4732</v>
      </c>
      <c r="G508" s="8">
        <f>12.1745 * CHOOSE( CONTROL!$C$12, $D$11, 100%, $F$11)</f>
        <v>12.1745</v>
      </c>
      <c r="H508" s="4">
        <f>13.057 * CHOOSE(CONTROL!$C$12, $D$11, 100%, $F$11)</f>
        <v>13.057</v>
      </c>
      <c r="I508" s="8">
        <f>12.0598 * CHOOSE(CONTROL!$C$12, $D$11, 100%, $F$11)</f>
        <v>12.059799999999999</v>
      </c>
      <c r="J508" s="4">
        <f>11.9526 * CHOOSE(CONTROL!$C$12, $D$11, 100%, $F$11)</f>
        <v>11.9526</v>
      </c>
      <c r="K508" s="4"/>
      <c r="L508" s="9">
        <v>27.3993</v>
      </c>
      <c r="M508" s="9">
        <v>12.063700000000001</v>
      </c>
      <c r="N508" s="9">
        <v>4.9444999999999997</v>
      </c>
      <c r="O508" s="9">
        <v>0.37459999999999999</v>
      </c>
      <c r="P508" s="9">
        <v>1.2939000000000001</v>
      </c>
      <c r="Q508" s="9">
        <v>19.688099999999999</v>
      </c>
      <c r="R508" s="9"/>
      <c r="S508" s="11"/>
    </row>
    <row r="509" spans="1:19" ht="15.75">
      <c r="A509" s="13">
        <v>57376</v>
      </c>
      <c r="B509" s="8">
        <f>12.9557 * CHOOSE(CONTROL!$C$12, $D$11, 100%, $F$11)</f>
        <v>12.9557</v>
      </c>
      <c r="C509" s="8">
        <f>12.9661 * CHOOSE(CONTROL!$C$12, $D$11, 100%, $F$11)</f>
        <v>12.966100000000001</v>
      </c>
      <c r="D509" s="8">
        <f>12.9638 * CHOOSE( CONTROL!$C$12, $D$11, 100%, $F$11)</f>
        <v>12.963800000000001</v>
      </c>
      <c r="E509" s="12">
        <f>12.9635 * CHOOSE( CONTROL!$C$12, $D$11, 100%, $F$11)</f>
        <v>12.9635</v>
      </c>
      <c r="F509" s="4">
        <f>13.9786 * CHOOSE(CONTROL!$C$12, $D$11, 100%, $F$11)</f>
        <v>13.9786</v>
      </c>
      <c r="G509" s="8">
        <f>12.6563 * CHOOSE( CONTROL!$C$12, $D$11, 100%, $F$11)</f>
        <v>12.6563</v>
      </c>
      <c r="H509" s="4">
        <f>13.5497 * CHOOSE(CONTROL!$C$12, $D$11, 100%, $F$11)</f>
        <v>13.5497</v>
      </c>
      <c r="I509" s="8">
        <f>12.5242 * CHOOSE(CONTROL!$C$12, $D$11, 100%, $F$11)</f>
        <v>12.5242</v>
      </c>
      <c r="J509" s="4">
        <f>12.4094 * CHOOSE(CONTROL!$C$12, $D$11, 100%, $F$11)</f>
        <v>12.4094</v>
      </c>
      <c r="K509" s="4"/>
      <c r="L509" s="9">
        <v>27.3993</v>
      </c>
      <c r="M509" s="9">
        <v>12.063700000000001</v>
      </c>
      <c r="N509" s="9">
        <v>4.9444999999999997</v>
      </c>
      <c r="O509" s="9">
        <v>0.37459999999999999</v>
      </c>
      <c r="P509" s="9">
        <v>1.2939000000000001</v>
      </c>
      <c r="Q509" s="9">
        <v>19.688099999999999</v>
      </c>
      <c r="R509" s="9"/>
      <c r="S509" s="11"/>
    </row>
    <row r="510" spans="1:19" ht="15.75">
      <c r="A510" s="13">
        <v>57404</v>
      </c>
      <c r="B510" s="8">
        <f>12.1185 * CHOOSE(CONTROL!$C$12, $D$11, 100%, $F$11)</f>
        <v>12.118499999999999</v>
      </c>
      <c r="C510" s="8">
        <f>12.1289 * CHOOSE(CONTROL!$C$12, $D$11, 100%, $F$11)</f>
        <v>12.1289</v>
      </c>
      <c r="D510" s="8">
        <f>12.1289 * CHOOSE( CONTROL!$C$12, $D$11, 100%, $F$11)</f>
        <v>12.1289</v>
      </c>
      <c r="E510" s="12">
        <f>12.1278 * CHOOSE( CONTROL!$C$12, $D$11, 100%, $F$11)</f>
        <v>12.127800000000001</v>
      </c>
      <c r="F510" s="4">
        <f>13.1335 * CHOOSE(CONTROL!$C$12, $D$11, 100%, $F$11)</f>
        <v>13.1335</v>
      </c>
      <c r="G510" s="8">
        <f>11.8401 * CHOOSE( CONTROL!$C$12, $D$11, 100%, $F$11)</f>
        <v>11.8401</v>
      </c>
      <c r="H510" s="4">
        <f>12.726 * CHOOSE(CONTROL!$C$12, $D$11, 100%, $F$11)</f>
        <v>12.726000000000001</v>
      </c>
      <c r="I510" s="8">
        <f>11.7106 * CHOOSE(CONTROL!$C$12, $D$11, 100%, $F$11)</f>
        <v>11.710599999999999</v>
      </c>
      <c r="J510" s="4">
        <f>11.6072 * CHOOSE(CONTROL!$C$12, $D$11, 100%, $F$11)</f>
        <v>11.607200000000001</v>
      </c>
      <c r="K510" s="4"/>
      <c r="L510" s="9">
        <v>24.747800000000002</v>
      </c>
      <c r="M510" s="9">
        <v>10.8962</v>
      </c>
      <c r="N510" s="9">
        <v>4.4660000000000002</v>
      </c>
      <c r="O510" s="9">
        <v>0.33829999999999999</v>
      </c>
      <c r="P510" s="9">
        <v>1.1687000000000001</v>
      </c>
      <c r="Q510" s="9">
        <v>17.782800000000002</v>
      </c>
      <c r="R510" s="9"/>
      <c r="S510" s="11"/>
    </row>
    <row r="511" spans="1:19" ht="15.75">
      <c r="A511" s="13">
        <v>57435</v>
      </c>
      <c r="B511" s="8">
        <f>11.8606 * CHOOSE(CONTROL!$C$12, $D$11, 100%, $F$11)</f>
        <v>11.8606</v>
      </c>
      <c r="C511" s="8">
        <f>11.871 * CHOOSE(CONTROL!$C$12, $D$11, 100%, $F$11)</f>
        <v>11.871</v>
      </c>
      <c r="D511" s="8">
        <f>11.8509 * CHOOSE( CONTROL!$C$12, $D$11, 100%, $F$11)</f>
        <v>11.850899999999999</v>
      </c>
      <c r="E511" s="12">
        <f>11.8571 * CHOOSE( CONTROL!$C$12, $D$11, 100%, $F$11)</f>
        <v>11.857100000000001</v>
      </c>
      <c r="F511" s="4">
        <f>12.8595 * CHOOSE(CONTROL!$C$12, $D$11, 100%, $F$11)</f>
        <v>12.859500000000001</v>
      </c>
      <c r="G511" s="8">
        <f>11.5682 * CHOOSE( CONTROL!$C$12, $D$11, 100%, $F$11)</f>
        <v>11.568199999999999</v>
      </c>
      <c r="H511" s="4">
        <f>12.4588 * CHOOSE(CONTROL!$C$12, $D$11, 100%, $F$11)</f>
        <v>12.4588</v>
      </c>
      <c r="I511" s="8">
        <f>11.4239 * CHOOSE(CONTROL!$C$12, $D$11, 100%, $F$11)</f>
        <v>11.4239</v>
      </c>
      <c r="J511" s="4">
        <f>11.3601 * CHOOSE(CONTROL!$C$12, $D$11, 100%, $F$11)</f>
        <v>11.360099999999999</v>
      </c>
      <c r="K511" s="4"/>
      <c r="L511" s="9">
        <v>27.3993</v>
      </c>
      <c r="M511" s="9">
        <v>12.063700000000001</v>
      </c>
      <c r="N511" s="9">
        <v>4.9444999999999997</v>
      </c>
      <c r="O511" s="9">
        <v>0.37459999999999999</v>
      </c>
      <c r="P511" s="9">
        <v>1.2939000000000001</v>
      </c>
      <c r="Q511" s="9">
        <v>19.688099999999999</v>
      </c>
      <c r="R511" s="9"/>
      <c r="S511" s="11"/>
    </row>
    <row r="512" spans="1:19" ht="15.75">
      <c r="A512" s="13">
        <v>57465</v>
      </c>
      <c r="B512" s="8">
        <f>12.0408 * CHOOSE(CONTROL!$C$12, $D$11, 100%, $F$11)</f>
        <v>12.040800000000001</v>
      </c>
      <c r="C512" s="8">
        <f>12.0512 * CHOOSE(CONTROL!$C$12, $D$11, 100%, $F$11)</f>
        <v>12.0512</v>
      </c>
      <c r="D512" s="8">
        <f>12.0544 * CHOOSE( CONTROL!$C$12, $D$11, 100%, $F$11)</f>
        <v>12.054399999999999</v>
      </c>
      <c r="E512" s="12">
        <f>12.0522 * CHOOSE( CONTROL!$C$12, $D$11, 100%, $F$11)</f>
        <v>12.052199999999999</v>
      </c>
      <c r="F512" s="4">
        <f>13.048 * CHOOSE(CONTROL!$C$12, $D$11, 100%, $F$11)</f>
        <v>13.048</v>
      </c>
      <c r="G512" s="8">
        <f>11.7317 * CHOOSE( CONTROL!$C$12, $D$11, 100%, $F$11)</f>
        <v>11.7317</v>
      </c>
      <c r="H512" s="4">
        <f>12.6426 * CHOOSE(CONTROL!$C$12, $D$11, 100%, $F$11)</f>
        <v>12.6426</v>
      </c>
      <c r="I512" s="8">
        <f>11.5867 * CHOOSE(CONTROL!$C$12, $D$11, 100%, $F$11)</f>
        <v>11.5867</v>
      </c>
      <c r="J512" s="4">
        <f>11.5327 * CHOOSE(CONTROL!$C$12, $D$11, 100%, $F$11)</f>
        <v>11.5327</v>
      </c>
      <c r="K512" s="4"/>
      <c r="L512" s="9">
        <v>27.988800000000001</v>
      </c>
      <c r="M512" s="9">
        <v>11.6745</v>
      </c>
      <c r="N512" s="9">
        <v>4.7850000000000001</v>
      </c>
      <c r="O512" s="9">
        <v>0.36249999999999999</v>
      </c>
      <c r="P512" s="9">
        <v>1.1798</v>
      </c>
      <c r="Q512" s="9">
        <v>19.053000000000001</v>
      </c>
      <c r="R512" s="9"/>
      <c r="S512" s="11"/>
    </row>
    <row r="513" spans="1:19" ht="15.75">
      <c r="A513" s="13">
        <v>57496</v>
      </c>
      <c r="B513" s="8">
        <f>CHOOSE( CONTROL!$C$29, 12.3657, 12.3615) * CHOOSE(CONTROL!$C$12, $D$11, 100%, $F$11)</f>
        <v>12.3657</v>
      </c>
      <c r="C513" s="8">
        <f>CHOOSE( CONTROL!$C$29, 12.3762, 12.3719) * CHOOSE(CONTROL!$C$12, $D$11, 100%, $F$11)</f>
        <v>12.376200000000001</v>
      </c>
      <c r="D513" s="8">
        <f>CHOOSE( CONTROL!$C$29, 12.3541, 12.3498) * CHOOSE( CONTROL!$C$12, $D$11, 100%, $F$11)</f>
        <v>12.354100000000001</v>
      </c>
      <c r="E513" s="12">
        <f>CHOOSE( CONTROL!$C$29, 12.3605, 12.3562) * CHOOSE( CONTROL!$C$12, $D$11, 100%, $F$11)</f>
        <v>12.3605</v>
      </c>
      <c r="F513" s="4">
        <f>CHOOSE( CONTROL!$C$29, 13.3406, 13.3364) * CHOOSE(CONTROL!$C$12, $D$11, 100%, $F$11)</f>
        <v>13.3406</v>
      </c>
      <c r="G513" s="8">
        <f>CHOOSE( CONTROL!$C$29, 12.0297, 12.0256) * CHOOSE( CONTROL!$C$12, $D$11, 100%, $F$11)</f>
        <v>12.0297</v>
      </c>
      <c r="H513" s="4">
        <f>CHOOSE( CONTROL!$C$29, 12.9278, 12.9237) * CHOOSE(CONTROL!$C$12, $D$11, 100%, $F$11)</f>
        <v>12.9278</v>
      </c>
      <c r="I513" s="8">
        <f>CHOOSE( CONTROL!$C$29, 11.8767, 11.8726) * CHOOSE(CONTROL!$C$12, $D$11, 100%, $F$11)</f>
        <v>11.8767</v>
      </c>
      <c r="J513" s="4">
        <f>CHOOSE( CONTROL!$C$29, 11.8441, 11.84) * CHOOSE(CONTROL!$C$12, $D$11, 100%, $F$11)</f>
        <v>11.844099999999999</v>
      </c>
      <c r="K513" s="4"/>
      <c r="L513" s="9">
        <v>29.520499999999998</v>
      </c>
      <c r="M513" s="9">
        <v>12.063700000000001</v>
      </c>
      <c r="N513" s="9">
        <v>4.9444999999999997</v>
      </c>
      <c r="O513" s="9">
        <v>0.37459999999999999</v>
      </c>
      <c r="P513" s="9">
        <v>1.2192000000000001</v>
      </c>
      <c r="Q513" s="9">
        <v>19.688099999999999</v>
      </c>
      <c r="R513" s="9"/>
      <c r="S513" s="11"/>
    </row>
    <row r="514" spans="1:19" ht="15.75">
      <c r="A514" s="13">
        <v>57526</v>
      </c>
      <c r="B514" s="8">
        <f>CHOOSE( CONTROL!$C$29, 12.1671, 12.1628) * CHOOSE(CONTROL!$C$12, $D$11, 100%, $F$11)</f>
        <v>12.1671</v>
      </c>
      <c r="C514" s="8">
        <f>CHOOSE( CONTROL!$C$29, 12.1775, 12.1733) * CHOOSE(CONTROL!$C$12, $D$11, 100%, $F$11)</f>
        <v>12.1775</v>
      </c>
      <c r="D514" s="8">
        <f>CHOOSE( CONTROL!$C$29, 12.1498, 12.1456) * CHOOSE( CONTROL!$C$12, $D$11, 100%, $F$11)</f>
        <v>12.149800000000001</v>
      </c>
      <c r="E514" s="12">
        <f>CHOOSE( CONTROL!$C$29, 12.1583, 12.154) * CHOOSE( CONTROL!$C$12, $D$11, 100%, $F$11)</f>
        <v>12.158300000000001</v>
      </c>
      <c r="F514" s="4">
        <f>CHOOSE( CONTROL!$C$29, 13.1315, 13.1273) * CHOOSE(CONTROL!$C$12, $D$11, 100%, $F$11)</f>
        <v>13.131500000000001</v>
      </c>
      <c r="G514" s="8">
        <f>CHOOSE( CONTROL!$C$29, 11.8348, 11.8307) * CHOOSE( CONTROL!$C$12, $D$11, 100%, $F$11)</f>
        <v>11.8348</v>
      </c>
      <c r="H514" s="4">
        <f>CHOOSE( CONTROL!$C$29, 12.724, 12.7199) * CHOOSE(CONTROL!$C$12, $D$11, 100%, $F$11)</f>
        <v>12.724</v>
      </c>
      <c r="I514" s="8">
        <f>CHOOSE( CONTROL!$C$29, 11.6884, 11.6844) * CHOOSE(CONTROL!$C$12, $D$11, 100%, $F$11)</f>
        <v>11.6884</v>
      </c>
      <c r="J514" s="4">
        <f>CHOOSE( CONTROL!$C$29, 11.6537, 11.6497) * CHOOSE(CONTROL!$C$12, $D$11, 100%, $F$11)</f>
        <v>11.653700000000001</v>
      </c>
      <c r="K514" s="4"/>
      <c r="L514" s="9">
        <v>28.568200000000001</v>
      </c>
      <c r="M514" s="9">
        <v>11.6745</v>
      </c>
      <c r="N514" s="9">
        <v>4.7850000000000001</v>
      </c>
      <c r="O514" s="9">
        <v>0.36249999999999999</v>
      </c>
      <c r="P514" s="9">
        <v>1.1798</v>
      </c>
      <c r="Q514" s="9">
        <v>19.053000000000001</v>
      </c>
      <c r="R514" s="9"/>
      <c r="S514" s="11"/>
    </row>
    <row r="515" spans="1:19" ht="15.75">
      <c r="A515" s="13">
        <v>57557</v>
      </c>
      <c r="B515" s="8">
        <f>CHOOSE( CONTROL!$C$29, 12.6902, 12.686) * CHOOSE(CONTROL!$C$12, $D$11, 100%, $F$11)</f>
        <v>12.690200000000001</v>
      </c>
      <c r="C515" s="8">
        <f>CHOOSE( CONTROL!$C$29, 12.7007, 12.6964) * CHOOSE(CONTROL!$C$12, $D$11, 100%, $F$11)</f>
        <v>12.700699999999999</v>
      </c>
      <c r="D515" s="8">
        <f>CHOOSE( CONTROL!$C$29, 12.7068, 12.7025) * CHOOSE( CONTROL!$C$12, $D$11, 100%, $F$11)</f>
        <v>12.706799999999999</v>
      </c>
      <c r="E515" s="12">
        <f>CHOOSE( CONTROL!$C$29, 12.703, 12.6987) * CHOOSE( CONTROL!$C$12, $D$11, 100%, $F$11)</f>
        <v>12.702999999999999</v>
      </c>
      <c r="F515" s="4">
        <f>CHOOSE( CONTROL!$C$29, 13.7001, 13.6958) * CHOOSE(CONTROL!$C$12, $D$11, 100%, $F$11)</f>
        <v>13.700100000000001</v>
      </c>
      <c r="G515" s="8">
        <f>CHOOSE( CONTROL!$C$29, 12.3708, 12.3667) * CHOOSE( CONTROL!$C$12, $D$11, 100%, $F$11)</f>
        <v>12.370799999999999</v>
      </c>
      <c r="H515" s="4">
        <f>CHOOSE( CONTROL!$C$29, 13.2782, 13.2741) * CHOOSE(CONTROL!$C$12, $D$11, 100%, $F$11)</f>
        <v>13.2782</v>
      </c>
      <c r="I515" s="8">
        <f>CHOOSE( CONTROL!$C$29, 12.2452, 12.2412) * CHOOSE(CONTROL!$C$12, $D$11, 100%, $F$11)</f>
        <v>12.245200000000001</v>
      </c>
      <c r="J515" s="4">
        <f>CHOOSE( CONTROL!$C$29, 12.155, 12.151) * CHOOSE(CONTROL!$C$12, $D$11, 100%, $F$11)</f>
        <v>12.154999999999999</v>
      </c>
      <c r="K515" s="4"/>
      <c r="L515" s="9">
        <v>29.520499999999998</v>
      </c>
      <c r="M515" s="9">
        <v>12.063700000000001</v>
      </c>
      <c r="N515" s="9">
        <v>4.9444999999999997</v>
      </c>
      <c r="O515" s="9">
        <v>0.37459999999999999</v>
      </c>
      <c r="P515" s="9">
        <v>1.2192000000000001</v>
      </c>
      <c r="Q515" s="9">
        <v>19.688099999999999</v>
      </c>
      <c r="R515" s="9"/>
      <c r="S515" s="11"/>
    </row>
    <row r="516" spans="1:19" ht="15.75">
      <c r="A516" s="13">
        <v>57588</v>
      </c>
      <c r="B516" s="8">
        <f>CHOOSE( CONTROL!$C$29, 11.7113, 11.7071) * CHOOSE(CONTROL!$C$12, $D$11, 100%, $F$11)</f>
        <v>11.7113</v>
      </c>
      <c r="C516" s="8">
        <f>CHOOSE( CONTROL!$C$29, 11.7218, 11.7175) * CHOOSE(CONTROL!$C$12, $D$11, 100%, $F$11)</f>
        <v>11.7218</v>
      </c>
      <c r="D516" s="8">
        <f>CHOOSE( CONTROL!$C$29, 11.7444, 11.7401) * CHOOSE( CONTROL!$C$12, $D$11, 100%, $F$11)</f>
        <v>11.744400000000001</v>
      </c>
      <c r="E516" s="12">
        <f>CHOOSE( CONTROL!$C$29, 11.7346, 11.7303) * CHOOSE( CONTROL!$C$12, $D$11, 100%, $F$11)</f>
        <v>11.7346</v>
      </c>
      <c r="F516" s="4">
        <f>CHOOSE( CONTROL!$C$29, 12.7499, 12.7457) * CHOOSE(CONTROL!$C$12, $D$11, 100%, $F$11)</f>
        <v>12.7499</v>
      </c>
      <c r="G516" s="8">
        <f>CHOOSE( CONTROL!$C$29, 11.4222, 11.4181) * CHOOSE( CONTROL!$C$12, $D$11, 100%, $F$11)</f>
        <v>11.4222</v>
      </c>
      <c r="H516" s="4">
        <f>CHOOSE( CONTROL!$C$29, 12.352, 12.3479) * CHOOSE(CONTROL!$C$12, $D$11, 100%, $F$11)</f>
        <v>12.352</v>
      </c>
      <c r="I516" s="8">
        <f>CHOOSE( CONTROL!$C$29, 11.2983, 11.2942) * CHOOSE(CONTROL!$C$12, $D$11, 100%, $F$11)</f>
        <v>11.298299999999999</v>
      </c>
      <c r="J516" s="4">
        <f>CHOOSE( CONTROL!$C$29, 11.2171, 11.213) * CHOOSE(CONTROL!$C$12, $D$11, 100%, $F$11)</f>
        <v>11.2171</v>
      </c>
      <c r="K516" s="4"/>
      <c r="L516" s="9">
        <v>29.520499999999998</v>
      </c>
      <c r="M516" s="9">
        <v>12.063700000000001</v>
      </c>
      <c r="N516" s="9">
        <v>4.9444999999999997</v>
      </c>
      <c r="O516" s="9">
        <v>0.37459999999999999</v>
      </c>
      <c r="P516" s="9">
        <v>1.2192000000000001</v>
      </c>
      <c r="Q516" s="9">
        <v>19.688099999999999</v>
      </c>
      <c r="R516" s="9"/>
      <c r="S516" s="11"/>
    </row>
    <row r="517" spans="1:19" ht="15.75">
      <c r="A517" s="13">
        <v>57618</v>
      </c>
      <c r="B517" s="8">
        <f>CHOOSE( CONTROL!$C$29, 11.4662, 11.462) * CHOOSE(CONTROL!$C$12, $D$11, 100%, $F$11)</f>
        <v>11.466200000000001</v>
      </c>
      <c r="C517" s="8">
        <f>CHOOSE( CONTROL!$C$29, 11.4767, 11.4724) * CHOOSE(CONTROL!$C$12, $D$11, 100%, $F$11)</f>
        <v>11.476699999999999</v>
      </c>
      <c r="D517" s="8">
        <f>CHOOSE( CONTROL!$C$29, 11.4992, 11.495) * CHOOSE( CONTROL!$C$12, $D$11, 100%, $F$11)</f>
        <v>11.4992</v>
      </c>
      <c r="E517" s="12">
        <f>CHOOSE( CONTROL!$C$29, 11.4894, 11.4852) * CHOOSE( CONTROL!$C$12, $D$11, 100%, $F$11)</f>
        <v>11.4894</v>
      </c>
      <c r="F517" s="4">
        <f>CHOOSE( CONTROL!$C$29, 12.5048, 12.5005) * CHOOSE(CONTROL!$C$12, $D$11, 100%, $F$11)</f>
        <v>12.504799999999999</v>
      </c>
      <c r="G517" s="8">
        <f>CHOOSE( CONTROL!$C$29, 11.183, 11.1788) * CHOOSE( CONTROL!$C$12, $D$11, 100%, $F$11)</f>
        <v>11.183</v>
      </c>
      <c r="H517" s="4">
        <f>CHOOSE( CONTROL!$C$29, 12.1131, 12.1089) * CHOOSE(CONTROL!$C$12, $D$11, 100%, $F$11)</f>
        <v>12.113099999999999</v>
      </c>
      <c r="I517" s="8">
        <f>CHOOSE( CONTROL!$C$29, 11.0616, 11.0575) * CHOOSE(CONTROL!$C$12, $D$11, 100%, $F$11)</f>
        <v>11.0616</v>
      </c>
      <c r="J517" s="4">
        <f>CHOOSE( CONTROL!$C$29, 10.9822, 10.9781) * CHOOSE(CONTROL!$C$12, $D$11, 100%, $F$11)</f>
        <v>10.982200000000001</v>
      </c>
      <c r="K517" s="4"/>
      <c r="L517" s="9">
        <v>28.568200000000001</v>
      </c>
      <c r="M517" s="9">
        <v>11.6745</v>
      </c>
      <c r="N517" s="9">
        <v>4.7850000000000001</v>
      </c>
      <c r="O517" s="9">
        <v>0.36249999999999999</v>
      </c>
      <c r="P517" s="9">
        <v>1.1798</v>
      </c>
      <c r="Q517" s="9">
        <v>19.053000000000001</v>
      </c>
      <c r="R517" s="9"/>
      <c r="S517" s="11"/>
    </row>
    <row r="518" spans="1:19" ht="15.75">
      <c r="A518" s="13">
        <v>57649</v>
      </c>
      <c r="B518" s="8">
        <f>11.9709 * CHOOSE(CONTROL!$C$12, $D$11, 100%, $F$11)</f>
        <v>11.9709</v>
      </c>
      <c r="C518" s="8">
        <f>11.9814 * CHOOSE(CONTROL!$C$12, $D$11, 100%, $F$11)</f>
        <v>11.981400000000001</v>
      </c>
      <c r="D518" s="8">
        <f>11.9858 * CHOOSE( CONTROL!$C$12, $D$11, 100%, $F$11)</f>
        <v>11.985799999999999</v>
      </c>
      <c r="E518" s="12">
        <f>11.9832 * CHOOSE( CONTROL!$C$12, $D$11, 100%, $F$11)</f>
        <v>11.9832</v>
      </c>
      <c r="F518" s="4">
        <f>12.9782 * CHOOSE(CONTROL!$C$12, $D$11, 100%, $F$11)</f>
        <v>12.978199999999999</v>
      </c>
      <c r="G518" s="8">
        <f>11.6652 * CHOOSE( CONTROL!$C$12, $D$11, 100%, $F$11)</f>
        <v>11.6652</v>
      </c>
      <c r="H518" s="4">
        <f>12.5745 * CHOOSE(CONTROL!$C$12, $D$11, 100%, $F$11)</f>
        <v>12.5745</v>
      </c>
      <c r="I518" s="8">
        <f>11.5421 * CHOOSE(CONTROL!$C$12, $D$11, 100%, $F$11)</f>
        <v>11.5421</v>
      </c>
      <c r="J518" s="4">
        <f>11.4658 * CHOOSE(CONTROL!$C$12, $D$11, 100%, $F$11)</f>
        <v>11.4658</v>
      </c>
      <c r="K518" s="4"/>
      <c r="L518" s="9">
        <v>28.921800000000001</v>
      </c>
      <c r="M518" s="9">
        <v>12.063700000000001</v>
      </c>
      <c r="N518" s="9">
        <v>4.9444999999999997</v>
      </c>
      <c r="O518" s="9">
        <v>0.37459999999999999</v>
      </c>
      <c r="P518" s="9">
        <v>1.2192000000000001</v>
      </c>
      <c r="Q518" s="9">
        <v>19.688099999999999</v>
      </c>
      <c r="R518" s="9"/>
      <c r="S518" s="11"/>
    </row>
    <row r="519" spans="1:19" ht="15.75">
      <c r="A519" s="13">
        <v>57679</v>
      </c>
      <c r="B519" s="8">
        <f>12.9104 * CHOOSE(CONTROL!$C$12, $D$11, 100%, $F$11)</f>
        <v>12.910399999999999</v>
      </c>
      <c r="C519" s="8">
        <f>12.9208 * CHOOSE(CONTROL!$C$12, $D$11, 100%, $F$11)</f>
        <v>12.9208</v>
      </c>
      <c r="D519" s="8">
        <f>12.9032 * CHOOSE( CONTROL!$C$12, $D$11, 100%, $F$11)</f>
        <v>12.9032</v>
      </c>
      <c r="E519" s="12">
        <f>12.9085 * CHOOSE( CONTROL!$C$12, $D$11, 100%, $F$11)</f>
        <v>12.9085</v>
      </c>
      <c r="F519" s="4">
        <f>13.9046 * CHOOSE(CONTROL!$C$12, $D$11, 100%, $F$11)</f>
        <v>13.9046</v>
      </c>
      <c r="G519" s="8">
        <f>12.5934 * CHOOSE( CONTROL!$C$12, $D$11, 100%, $F$11)</f>
        <v>12.593400000000001</v>
      </c>
      <c r="H519" s="4">
        <f>13.4775 * CHOOSE(CONTROL!$C$12, $D$11, 100%, $F$11)</f>
        <v>13.477499999999999</v>
      </c>
      <c r="I519" s="8">
        <f>12.4661 * CHOOSE(CONTROL!$C$12, $D$11, 100%, $F$11)</f>
        <v>12.466100000000001</v>
      </c>
      <c r="J519" s="4">
        <f>12.366 * CHOOSE(CONTROL!$C$12, $D$11, 100%, $F$11)</f>
        <v>12.366</v>
      </c>
      <c r="K519" s="4"/>
      <c r="L519" s="9">
        <v>26.515499999999999</v>
      </c>
      <c r="M519" s="9">
        <v>11.6745</v>
      </c>
      <c r="N519" s="9">
        <v>4.7850000000000001</v>
      </c>
      <c r="O519" s="9">
        <v>0.36249999999999999</v>
      </c>
      <c r="P519" s="9">
        <v>1.2522</v>
      </c>
      <c r="Q519" s="9">
        <v>19.053000000000001</v>
      </c>
      <c r="R519" s="9"/>
      <c r="S519" s="11"/>
    </row>
    <row r="520" spans="1:19" ht="15.75">
      <c r="A520" s="13">
        <v>57710</v>
      </c>
      <c r="B520" s="8">
        <f>12.8869 * CHOOSE(CONTROL!$C$12, $D$11, 100%, $F$11)</f>
        <v>12.886900000000001</v>
      </c>
      <c r="C520" s="8">
        <f>12.8973 * CHOOSE(CONTROL!$C$12, $D$11, 100%, $F$11)</f>
        <v>12.8973</v>
      </c>
      <c r="D520" s="8">
        <f>12.8817 * CHOOSE( CONTROL!$C$12, $D$11, 100%, $F$11)</f>
        <v>12.8817</v>
      </c>
      <c r="E520" s="12">
        <f>12.8863 * CHOOSE( CONTROL!$C$12, $D$11, 100%, $F$11)</f>
        <v>12.8863</v>
      </c>
      <c r="F520" s="4">
        <f>13.8811 * CHOOSE(CONTROL!$C$12, $D$11, 100%, $F$11)</f>
        <v>13.8811</v>
      </c>
      <c r="G520" s="8">
        <f>12.5721 * CHOOSE( CONTROL!$C$12, $D$11, 100%, $F$11)</f>
        <v>12.572100000000001</v>
      </c>
      <c r="H520" s="4">
        <f>13.4547 * CHOOSE(CONTROL!$C$12, $D$11, 100%, $F$11)</f>
        <v>13.454700000000001</v>
      </c>
      <c r="I520" s="8">
        <f>12.4509 * CHOOSE(CONTROL!$C$12, $D$11, 100%, $F$11)</f>
        <v>12.450900000000001</v>
      </c>
      <c r="J520" s="4">
        <f>12.3435 * CHOOSE(CONTROL!$C$12, $D$11, 100%, $F$11)</f>
        <v>12.343500000000001</v>
      </c>
      <c r="K520" s="4"/>
      <c r="L520" s="9">
        <v>27.3993</v>
      </c>
      <c r="M520" s="9">
        <v>12.063700000000001</v>
      </c>
      <c r="N520" s="9">
        <v>4.9444999999999997</v>
      </c>
      <c r="O520" s="9">
        <v>0.37459999999999999</v>
      </c>
      <c r="P520" s="9">
        <v>1.2939000000000001</v>
      </c>
      <c r="Q520" s="9">
        <v>19.688099999999999</v>
      </c>
      <c r="R520" s="9"/>
      <c r="S520" s="11"/>
    </row>
    <row r="521" spans="1:19" ht="15.75">
      <c r="A521" s="13">
        <v>57741</v>
      </c>
      <c r="B521" s="8">
        <f>13.3792 * CHOOSE(CONTROL!$C$12, $D$11, 100%, $F$11)</f>
        <v>13.379200000000001</v>
      </c>
      <c r="C521" s="8">
        <f>13.3897 * CHOOSE(CONTROL!$C$12, $D$11, 100%, $F$11)</f>
        <v>13.389699999999999</v>
      </c>
      <c r="D521" s="8">
        <f>13.3873 * CHOOSE( CONTROL!$C$12, $D$11, 100%, $F$11)</f>
        <v>13.3873</v>
      </c>
      <c r="E521" s="12">
        <f>13.3871 * CHOOSE( CONTROL!$C$12, $D$11, 100%, $F$11)</f>
        <v>13.3871</v>
      </c>
      <c r="F521" s="4">
        <f>14.4022 * CHOOSE(CONTROL!$C$12, $D$11, 100%, $F$11)</f>
        <v>14.402200000000001</v>
      </c>
      <c r="G521" s="8">
        <f>13.0692 * CHOOSE( CONTROL!$C$12, $D$11, 100%, $F$11)</f>
        <v>13.0692</v>
      </c>
      <c r="H521" s="4">
        <f>13.9626 * CHOOSE(CONTROL!$C$12, $D$11, 100%, $F$11)</f>
        <v>13.9626</v>
      </c>
      <c r="I521" s="8">
        <f>12.9302 * CHOOSE(CONTROL!$C$12, $D$11, 100%, $F$11)</f>
        <v>12.930199999999999</v>
      </c>
      <c r="J521" s="4">
        <f>12.8152 * CHOOSE(CONTROL!$C$12, $D$11, 100%, $F$11)</f>
        <v>12.815200000000001</v>
      </c>
      <c r="K521" s="4"/>
      <c r="L521" s="9">
        <v>27.3993</v>
      </c>
      <c r="M521" s="9">
        <v>12.063700000000001</v>
      </c>
      <c r="N521" s="9">
        <v>4.9444999999999997</v>
      </c>
      <c r="O521" s="9">
        <v>0.37459999999999999</v>
      </c>
      <c r="P521" s="9">
        <v>1.2939000000000001</v>
      </c>
      <c r="Q521" s="9">
        <v>19.688099999999999</v>
      </c>
      <c r="R521" s="9"/>
      <c r="S521" s="11"/>
    </row>
    <row r="522" spans="1:19" ht="15.75">
      <c r="A522" s="13">
        <v>57769</v>
      </c>
      <c r="B522" s="8">
        <f>12.5146 * CHOOSE(CONTROL!$C$12, $D$11, 100%, $F$11)</f>
        <v>12.5146</v>
      </c>
      <c r="C522" s="8">
        <f>12.5251 * CHOOSE(CONTROL!$C$12, $D$11, 100%, $F$11)</f>
        <v>12.5251</v>
      </c>
      <c r="D522" s="8">
        <f>12.525 * CHOOSE( CONTROL!$C$12, $D$11, 100%, $F$11)</f>
        <v>12.525</v>
      </c>
      <c r="E522" s="12">
        <f>12.5239 * CHOOSE( CONTROL!$C$12, $D$11, 100%, $F$11)</f>
        <v>12.523899999999999</v>
      </c>
      <c r="F522" s="4">
        <f>13.5297 * CHOOSE(CONTROL!$C$12, $D$11, 100%, $F$11)</f>
        <v>13.5297</v>
      </c>
      <c r="G522" s="8">
        <f>12.2262 * CHOOSE( CONTROL!$C$12, $D$11, 100%, $F$11)</f>
        <v>12.2262</v>
      </c>
      <c r="H522" s="4">
        <f>13.1121 * CHOOSE(CONTROL!$C$12, $D$11, 100%, $F$11)</f>
        <v>13.1121</v>
      </c>
      <c r="I522" s="8">
        <f>12.0904 * CHOOSE(CONTROL!$C$12, $D$11, 100%, $F$11)</f>
        <v>12.090400000000001</v>
      </c>
      <c r="J522" s="4">
        <f>11.9868 * CHOOSE(CONTROL!$C$12, $D$11, 100%, $F$11)</f>
        <v>11.986800000000001</v>
      </c>
      <c r="K522" s="4"/>
      <c r="L522" s="9">
        <v>24.747800000000002</v>
      </c>
      <c r="M522" s="9">
        <v>10.8962</v>
      </c>
      <c r="N522" s="9">
        <v>4.4660000000000002</v>
      </c>
      <c r="O522" s="9">
        <v>0.33829999999999999</v>
      </c>
      <c r="P522" s="9">
        <v>1.1687000000000001</v>
      </c>
      <c r="Q522" s="9">
        <v>17.782800000000002</v>
      </c>
      <c r="R522" s="9"/>
      <c r="S522" s="11"/>
    </row>
    <row r="523" spans="1:19" ht="15.75">
      <c r="A523" s="13">
        <v>57800</v>
      </c>
      <c r="B523" s="8">
        <f>12.2483 * CHOOSE(CONTROL!$C$12, $D$11, 100%, $F$11)</f>
        <v>12.2483</v>
      </c>
      <c r="C523" s="8">
        <f>12.2588 * CHOOSE(CONTROL!$C$12, $D$11, 100%, $F$11)</f>
        <v>12.258800000000001</v>
      </c>
      <c r="D523" s="8">
        <f>12.2386 * CHOOSE( CONTROL!$C$12, $D$11, 100%, $F$11)</f>
        <v>12.2386</v>
      </c>
      <c r="E523" s="12">
        <f>12.2449 * CHOOSE( CONTROL!$C$12, $D$11, 100%, $F$11)</f>
        <v>12.244899999999999</v>
      </c>
      <c r="F523" s="4">
        <f>13.2472 * CHOOSE(CONTROL!$C$12, $D$11, 100%, $F$11)</f>
        <v>13.247199999999999</v>
      </c>
      <c r="G523" s="8">
        <f>11.9462 * CHOOSE( CONTROL!$C$12, $D$11, 100%, $F$11)</f>
        <v>11.946199999999999</v>
      </c>
      <c r="H523" s="4">
        <f>12.8368 * CHOOSE(CONTROL!$C$12, $D$11, 100%, $F$11)</f>
        <v>12.8368</v>
      </c>
      <c r="I523" s="8">
        <f>11.7956 * CHOOSE(CONTROL!$C$12, $D$11, 100%, $F$11)</f>
        <v>11.7956</v>
      </c>
      <c r="J523" s="4">
        <f>11.7316 * CHOOSE(CONTROL!$C$12, $D$11, 100%, $F$11)</f>
        <v>11.7316</v>
      </c>
      <c r="K523" s="4"/>
      <c r="L523" s="9">
        <v>27.3993</v>
      </c>
      <c r="M523" s="9">
        <v>12.063700000000001</v>
      </c>
      <c r="N523" s="9">
        <v>4.9444999999999997</v>
      </c>
      <c r="O523" s="9">
        <v>0.37459999999999999</v>
      </c>
      <c r="P523" s="9">
        <v>1.2939000000000001</v>
      </c>
      <c r="Q523" s="9">
        <v>19.688099999999999</v>
      </c>
      <c r="R523" s="9"/>
      <c r="S523" s="11"/>
    </row>
    <row r="524" spans="1:19" ht="15.75">
      <c r="A524" s="13">
        <v>57830</v>
      </c>
      <c r="B524" s="8">
        <f>12.4344 * CHOOSE(CONTROL!$C$12, $D$11, 100%, $F$11)</f>
        <v>12.4344</v>
      </c>
      <c r="C524" s="8">
        <f>12.4448 * CHOOSE(CONTROL!$C$12, $D$11, 100%, $F$11)</f>
        <v>12.444800000000001</v>
      </c>
      <c r="D524" s="8">
        <f>12.448 * CHOOSE( CONTROL!$C$12, $D$11, 100%, $F$11)</f>
        <v>12.448</v>
      </c>
      <c r="E524" s="12">
        <f>12.4458 * CHOOSE( CONTROL!$C$12, $D$11, 100%, $F$11)</f>
        <v>12.4458</v>
      </c>
      <c r="F524" s="4">
        <f>13.4417 * CHOOSE(CONTROL!$C$12, $D$11, 100%, $F$11)</f>
        <v>13.441700000000001</v>
      </c>
      <c r="G524" s="8">
        <f>12.1154 * CHOOSE( CONTROL!$C$12, $D$11, 100%, $F$11)</f>
        <v>12.115399999999999</v>
      </c>
      <c r="H524" s="4">
        <f>13.0263 * CHOOSE(CONTROL!$C$12, $D$11, 100%, $F$11)</f>
        <v>13.026300000000001</v>
      </c>
      <c r="I524" s="8">
        <f>11.9641 * CHOOSE(CONTROL!$C$12, $D$11, 100%, $F$11)</f>
        <v>11.9641</v>
      </c>
      <c r="J524" s="4">
        <f>11.9099 * CHOOSE(CONTROL!$C$12, $D$11, 100%, $F$11)</f>
        <v>11.9099</v>
      </c>
      <c r="K524" s="4"/>
      <c r="L524" s="9">
        <v>27.988800000000001</v>
      </c>
      <c r="M524" s="9">
        <v>11.6745</v>
      </c>
      <c r="N524" s="9">
        <v>4.7850000000000001</v>
      </c>
      <c r="O524" s="9">
        <v>0.36249999999999999</v>
      </c>
      <c r="P524" s="9">
        <v>1.1798</v>
      </c>
      <c r="Q524" s="9">
        <v>19.053000000000001</v>
      </c>
      <c r="R524" s="9"/>
      <c r="S524" s="11"/>
    </row>
    <row r="525" spans="1:19" ht="15.75">
      <c r="A525" s="13">
        <v>57861</v>
      </c>
      <c r="B525" s="8">
        <f>CHOOSE( CONTROL!$C$29, 12.7698, 12.7656) * CHOOSE(CONTROL!$C$12, $D$11, 100%, $F$11)</f>
        <v>12.7698</v>
      </c>
      <c r="C525" s="8">
        <f>CHOOSE( CONTROL!$C$29, 12.7803, 12.776) * CHOOSE(CONTROL!$C$12, $D$11, 100%, $F$11)</f>
        <v>12.7803</v>
      </c>
      <c r="D525" s="8">
        <f>CHOOSE( CONTROL!$C$29, 12.7582, 12.7539) * CHOOSE( CONTROL!$C$12, $D$11, 100%, $F$11)</f>
        <v>12.7582</v>
      </c>
      <c r="E525" s="12">
        <f>CHOOSE( CONTROL!$C$29, 12.7646, 12.7603) * CHOOSE( CONTROL!$C$12, $D$11, 100%, $F$11)</f>
        <v>12.7646</v>
      </c>
      <c r="F525" s="4">
        <f>CHOOSE( CONTROL!$C$29, 13.7447, 13.7405) * CHOOSE(CONTROL!$C$12, $D$11, 100%, $F$11)</f>
        <v>13.7447</v>
      </c>
      <c r="G525" s="8">
        <f>CHOOSE( CONTROL!$C$29, 12.4236, 12.4195) * CHOOSE( CONTROL!$C$12, $D$11, 100%, $F$11)</f>
        <v>12.4236</v>
      </c>
      <c r="H525" s="4">
        <f>CHOOSE( CONTROL!$C$29, 13.3217, 13.3176) * CHOOSE(CONTROL!$C$12, $D$11, 100%, $F$11)</f>
        <v>13.3217</v>
      </c>
      <c r="I525" s="8">
        <f>CHOOSE( CONTROL!$C$29, 12.2641, 12.2601) * CHOOSE(CONTROL!$C$12, $D$11, 100%, $F$11)</f>
        <v>12.264099999999999</v>
      </c>
      <c r="J525" s="4">
        <f>CHOOSE( CONTROL!$C$29, 12.2313, 12.2272) * CHOOSE(CONTROL!$C$12, $D$11, 100%, $F$11)</f>
        <v>12.231299999999999</v>
      </c>
      <c r="K525" s="4"/>
      <c r="L525" s="9">
        <v>29.520499999999998</v>
      </c>
      <c r="M525" s="9">
        <v>12.063700000000001</v>
      </c>
      <c r="N525" s="9">
        <v>4.9444999999999997</v>
      </c>
      <c r="O525" s="9">
        <v>0.37459999999999999</v>
      </c>
      <c r="P525" s="9">
        <v>1.2192000000000001</v>
      </c>
      <c r="Q525" s="9">
        <v>19.688099999999999</v>
      </c>
      <c r="R525" s="9"/>
      <c r="S525" s="11"/>
    </row>
    <row r="526" spans="1:19" ht="15.75">
      <c r="A526" s="13">
        <v>57891</v>
      </c>
      <c r="B526" s="8">
        <f>CHOOSE( CONTROL!$C$29, 12.5647, 12.5604) * CHOOSE(CONTROL!$C$12, $D$11, 100%, $F$11)</f>
        <v>12.5647</v>
      </c>
      <c r="C526" s="8">
        <f>CHOOSE( CONTROL!$C$29, 12.5751, 12.5709) * CHOOSE(CONTROL!$C$12, $D$11, 100%, $F$11)</f>
        <v>12.575100000000001</v>
      </c>
      <c r="D526" s="8">
        <f>CHOOSE( CONTROL!$C$29, 12.5474, 12.5432) * CHOOSE( CONTROL!$C$12, $D$11, 100%, $F$11)</f>
        <v>12.5474</v>
      </c>
      <c r="E526" s="12">
        <f>CHOOSE( CONTROL!$C$29, 12.5559, 12.5516) * CHOOSE( CONTROL!$C$12, $D$11, 100%, $F$11)</f>
        <v>12.555899999999999</v>
      </c>
      <c r="F526" s="4">
        <f>CHOOSE( CONTROL!$C$29, 13.5291, 13.5249) * CHOOSE(CONTROL!$C$12, $D$11, 100%, $F$11)</f>
        <v>13.5291</v>
      </c>
      <c r="G526" s="8">
        <f>CHOOSE( CONTROL!$C$29, 12.2224, 12.2182) * CHOOSE( CONTROL!$C$12, $D$11, 100%, $F$11)</f>
        <v>12.2224</v>
      </c>
      <c r="H526" s="4">
        <f>CHOOSE( CONTROL!$C$29, 13.1116, 13.1074) * CHOOSE(CONTROL!$C$12, $D$11, 100%, $F$11)</f>
        <v>13.111599999999999</v>
      </c>
      <c r="I526" s="8">
        <f>CHOOSE( CONTROL!$C$29, 12.0696, 12.0655) * CHOOSE(CONTROL!$C$12, $D$11, 100%, $F$11)</f>
        <v>12.069599999999999</v>
      </c>
      <c r="J526" s="4">
        <f>CHOOSE( CONTROL!$C$29, 12.0347, 12.0307) * CHOOSE(CONTROL!$C$12, $D$11, 100%, $F$11)</f>
        <v>12.034700000000001</v>
      </c>
      <c r="K526" s="4"/>
      <c r="L526" s="9">
        <v>28.568200000000001</v>
      </c>
      <c r="M526" s="9">
        <v>11.6745</v>
      </c>
      <c r="N526" s="9">
        <v>4.7850000000000001</v>
      </c>
      <c r="O526" s="9">
        <v>0.36249999999999999</v>
      </c>
      <c r="P526" s="9">
        <v>1.1798</v>
      </c>
      <c r="Q526" s="9">
        <v>19.053000000000001</v>
      </c>
      <c r="R526" s="9"/>
      <c r="S526" s="11"/>
    </row>
    <row r="527" spans="1:19" ht="15.75">
      <c r="A527" s="13">
        <v>57922</v>
      </c>
      <c r="B527" s="8">
        <f>CHOOSE( CONTROL!$C$29, 13.1049, 13.1007) * CHOOSE(CONTROL!$C$12, $D$11, 100%, $F$11)</f>
        <v>13.104900000000001</v>
      </c>
      <c r="C527" s="8">
        <f>CHOOSE( CONTROL!$C$29, 13.1154, 13.1111) * CHOOSE(CONTROL!$C$12, $D$11, 100%, $F$11)</f>
        <v>13.115399999999999</v>
      </c>
      <c r="D527" s="8">
        <f>CHOOSE( CONTROL!$C$29, 13.1215, 13.1173) * CHOOSE( CONTROL!$C$12, $D$11, 100%, $F$11)</f>
        <v>13.121499999999999</v>
      </c>
      <c r="E527" s="12">
        <f>CHOOSE( CONTROL!$C$29, 13.1177, 13.1135) * CHOOSE( CONTROL!$C$12, $D$11, 100%, $F$11)</f>
        <v>13.117699999999999</v>
      </c>
      <c r="F527" s="4">
        <f>CHOOSE( CONTROL!$C$29, 14.1148, 14.1106) * CHOOSE(CONTROL!$C$12, $D$11, 100%, $F$11)</f>
        <v>14.114800000000001</v>
      </c>
      <c r="G527" s="8">
        <f>CHOOSE( CONTROL!$C$29, 12.7751, 12.7709) * CHOOSE( CONTROL!$C$12, $D$11, 100%, $F$11)</f>
        <v>12.7751</v>
      </c>
      <c r="H527" s="4">
        <f>CHOOSE( CONTROL!$C$29, 13.6825, 13.6783) * CHOOSE(CONTROL!$C$12, $D$11, 100%, $F$11)</f>
        <v>13.682499999999999</v>
      </c>
      <c r="I527" s="8">
        <f>CHOOSE( CONTROL!$C$29, 12.6428, 12.6388) * CHOOSE(CONTROL!$C$12, $D$11, 100%, $F$11)</f>
        <v>12.642799999999999</v>
      </c>
      <c r="J527" s="4">
        <f>CHOOSE( CONTROL!$C$29, 12.5524, 12.5483) * CHOOSE(CONTROL!$C$12, $D$11, 100%, $F$11)</f>
        <v>12.5524</v>
      </c>
      <c r="K527" s="4"/>
      <c r="L527" s="9">
        <v>29.520499999999998</v>
      </c>
      <c r="M527" s="9">
        <v>12.063700000000001</v>
      </c>
      <c r="N527" s="9">
        <v>4.9444999999999997</v>
      </c>
      <c r="O527" s="9">
        <v>0.37459999999999999</v>
      </c>
      <c r="P527" s="9">
        <v>1.2192000000000001</v>
      </c>
      <c r="Q527" s="9">
        <v>19.688099999999999</v>
      </c>
      <c r="R527" s="9"/>
      <c r="S527" s="11"/>
    </row>
    <row r="528" spans="1:19" ht="15.75">
      <c r="A528" s="13">
        <v>57953</v>
      </c>
      <c r="B528" s="8">
        <f>CHOOSE( CONTROL!$C$29, 12.094, 12.0898) * CHOOSE(CONTROL!$C$12, $D$11, 100%, $F$11)</f>
        <v>12.093999999999999</v>
      </c>
      <c r="C528" s="8">
        <f>CHOOSE( CONTROL!$C$29, 12.1045, 12.1002) * CHOOSE(CONTROL!$C$12, $D$11, 100%, $F$11)</f>
        <v>12.1045</v>
      </c>
      <c r="D528" s="8">
        <f>CHOOSE( CONTROL!$C$29, 12.1271, 12.1228) * CHOOSE( CONTROL!$C$12, $D$11, 100%, $F$11)</f>
        <v>12.1271</v>
      </c>
      <c r="E528" s="12">
        <f>CHOOSE( CONTROL!$C$29, 12.1173, 12.113) * CHOOSE( CONTROL!$C$12, $D$11, 100%, $F$11)</f>
        <v>12.1173</v>
      </c>
      <c r="F528" s="4">
        <f>CHOOSE( CONTROL!$C$29, 13.1326, 13.1284) * CHOOSE(CONTROL!$C$12, $D$11, 100%, $F$11)</f>
        <v>13.1326</v>
      </c>
      <c r="G528" s="8">
        <f>CHOOSE( CONTROL!$C$29, 11.7953, 11.7911) * CHOOSE( CONTROL!$C$12, $D$11, 100%, $F$11)</f>
        <v>11.795299999999999</v>
      </c>
      <c r="H528" s="4">
        <f>CHOOSE( CONTROL!$C$29, 12.725, 12.7209) * CHOOSE(CONTROL!$C$12, $D$11, 100%, $F$11)</f>
        <v>12.725</v>
      </c>
      <c r="I528" s="8">
        <f>CHOOSE( CONTROL!$C$29, 11.6652, 11.6611) * CHOOSE(CONTROL!$C$12, $D$11, 100%, $F$11)</f>
        <v>11.6652</v>
      </c>
      <c r="J528" s="4">
        <f>CHOOSE( CONTROL!$C$29, 11.5838, 11.5797) * CHOOSE(CONTROL!$C$12, $D$11, 100%, $F$11)</f>
        <v>11.5838</v>
      </c>
      <c r="K528" s="4"/>
      <c r="L528" s="9">
        <v>29.520499999999998</v>
      </c>
      <c r="M528" s="9">
        <v>12.063700000000001</v>
      </c>
      <c r="N528" s="9">
        <v>4.9444999999999997</v>
      </c>
      <c r="O528" s="9">
        <v>0.37459999999999999</v>
      </c>
      <c r="P528" s="9">
        <v>1.2192000000000001</v>
      </c>
      <c r="Q528" s="9">
        <v>19.688099999999999</v>
      </c>
      <c r="R528" s="9"/>
      <c r="S528" s="11"/>
    </row>
    <row r="529" spans="1:19" ht="15.75">
      <c r="A529" s="13">
        <v>57983</v>
      </c>
      <c r="B529" s="8">
        <f>CHOOSE( CONTROL!$C$29, 11.8409, 11.8367) * CHOOSE(CONTROL!$C$12, $D$11, 100%, $F$11)</f>
        <v>11.8409</v>
      </c>
      <c r="C529" s="8">
        <f>CHOOSE( CONTROL!$C$29, 11.8513, 11.8471) * CHOOSE(CONTROL!$C$12, $D$11, 100%, $F$11)</f>
        <v>11.8513</v>
      </c>
      <c r="D529" s="8">
        <f>CHOOSE( CONTROL!$C$29, 11.8739, 11.8697) * CHOOSE( CONTROL!$C$12, $D$11, 100%, $F$11)</f>
        <v>11.873900000000001</v>
      </c>
      <c r="E529" s="12">
        <f>CHOOSE( CONTROL!$C$29, 11.8641, 11.8599) * CHOOSE( CONTROL!$C$12, $D$11, 100%, $F$11)</f>
        <v>11.864100000000001</v>
      </c>
      <c r="F529" s="4">
        <f>CHOOSE( CONTROL!$C$29, 12.8795, 12.8752) * CHOOSE(CONTROL!$C$12, $D$11, 100%, $F$11)</f>
        <v>12.8795</v>
      </c>
      <c r="G529" s="8">
        <f>CHOOSE( CONTROL!$C$29, 11.5482, 11.5441) * CHOOSE( CONTROL!$C$12, $D$11, 100%, $F$11)</f>
        <v>11.5482</v>
      </c>
      <c r="H529" s="4">
        <f>CHOOSE( CONTROL!$C$29, 12.4783, 12.4742) * CHOOSE(CONTROL!$C$12, $D$11, 100%, $F$11)</f>
        <v>12.478300000000001</v>
      </c>
      <c r="I529" s="8">
        <f>CHOOSE( CONTROL!$C$29, 11.4208, 11.4167) * CHOOSE(CONTROL!$C$12, $D$11, 100%, $F$11)</f>
        <v>11.4208</v>
      </c>
      <c r="J529" s="4">
        <f>CHOOSE( CONTROL!$C$29, 11.3412, 11.3371) * CHOOSE(CONTROL!$C$12, $D$11, 100%, $F$11)</f>
        <v>11.341200000000001</v>
      </c>
      <c r="K529" s="4"/>
      <c r="L529" s="9">
        <v>28.568200000000001</v>
      </c>
      <c r="M529" s="9">
        <v>11.6745</v>
      </c>
      <c r="N529" s="9">
        <v>4.7850000000000001</v>
      </c>
      <c r="O529" s="9">
        <v>0.36249999999999999</v>
      </c>
      <c r="P529" s="9">
        <v>1.1798</v>
      </c>
      <c r="Q529" s="9">
        <v>19.053000000000001</v>
      </c>
      <c r="R529" s="9"/>
      <c r="S529" s="11"/>
    </row>
    <row r="530" spans="1:19" ht="15.75">
      <c r="A530" s="13">
        <v>58014</v>
      </c>
      <c r="B530" s="8">
        <f>12.3623 * CHOOSE(CONTROL!$C$12, $D$11, 100%, $F$11)</f>
        <v>12.362299999999999</v>
      </c>
      <c r="C530" s="8">
        <f>12.3727 * CHOOSE(CONTROL!$C$12, $D$11, 100%, $F$11)</f>
        <v>12.3727</v>
      </c>
      <c r="D530" s="8">
        <f>12.3771 * CHOOSE( CONTROL!$C$12, $D$11, 100%, $F$11)</f>
        <v>12.3771</v>
      </c>
      <c r="E530" s="12">
        <f>12.3745 * CHOOSE( CONTROL!$C$12, $D$11, 100%, $F$11)</f>
        <v>12.374499999999999</v>
      </c>
      <c r="F530" s="4">
        <f>13.3695 * CHOOSE(CONTROL!$C$12, $D$11, 100%, $F$11)</f>
        <v>13.3695</v>
      </c>
      <c r="G530" s="8">
        <f>12.0467 * CHOOSE( CONTROL!$C$12, $D$11, 100%, $F$11)</f>
        <v>12.0467</v>
      </c>
      <c r="H530" s="4">
        <f>12.956 * CHOOSE(CONTROL!$C$12, $D$11, 100%, $F$11)</f>
        <v>12.956</v>
      </c>
      <c r="I530" s="8">
        <f>11.9172 * CHOOSE(CONTROL!$C$12, $D$11, 100%, $F$11)</f>
        <v>11.917199999999999</v>
      </c>
      <c r="J530" s="4">
        <f>11.8408 * CHOOSE(CONTROL!$C$12, $D$11, 100%, $F$11)</f>
        <v>11.8408</v>
      </c>
      <c r="K530" s="4"/>
      <c r="L530" s="9">
        <v>28.921800000000001</v>
      </c>
      <c r="M530" s="9">
        <v>12.063700000000001</v>
      </c>
      <c r="N530" s="9">
        <v>4.9444999999999997</v>
      </c>
      <c r="O530" s="9">
        <v>0.37459999999999999</v>
      </c>
      <c r="P530" s="9">
        <v>1.2192000000000001</v>
      </c>
      <c r="Q530" s="9">
        <v>19.688099999999999</v>
      </c>
      <c r="R530" s="9"/>
      <c r="S530" s="11"/>
    </row>
    <row r="531" spans="1:19" ht="15.75">
      <c r="A531" s="13">
        <v>58044</v>
      </c>
      <c r="B531" s="8">
        <f>13.3324 * CHOOSE(CONTROL!$C$12, $D$11, 100%, $F$11)</f>
        <v>13.3324</v>
      </c>
      <c r="C531" s="8">
        <f>13.3429 * CHOOSE(CONTROL!$C$12, $D$11, 100%, $F$11)</f>
        <v>13.3429</v>
      </c>
      <c r="D531" s="8">
        <f>13.3253 * CHOOSE( CONTROL!$C$12, $D$11, 100%, $F$11)</f>
        <v>13.3253</v>
      </c>
      <c r="E531" s="12">
        <f>13.3306 * CHOOSE( CONTROL!$C$12, $D$11, 100%, $F$11)</f>
        <v>13.3306</v>
      </c>
      <c r="F531" s="4">
        <f>14.3266 * CHOOSE(CONTROL!$C$12, $D$11, 100%, $F$11)</f>
        <v>14.326599999999999</v>
      </c>
      <c r="G531" s="8">
        <f>13.0049 * CHOOSE( CONTROL!$C$12, $D$11, 100%, $F$11)</f>
        <v>13.004899999999999</v>
      </c>
      <c r="H531" s="4">
        <f>13.889 * CHOOSE(CONTROL!$C$12, $D$11, 100%, $F$11)</f>
        <v>13.888999999999999</v>
      </c>
      <c r="I531" s="8">
        <f>12.8708 * CHOOSE(CONTROL!$C$12, $D$11, 100%, $F$11)</f>
        <v>12.870799999999999</v>
      </c>
      <c r="J531" s="4">
        <f>12.7704 * CHOOSE(CONTROL!$C$12, $D$11, 100%, $F$11)</f>
        <v>12.7704</v>
      </c>
      <c r="K531" s="4"/>
      <c r="L531" s="9">
        <v>26.515499999999999</v>
      </c>
      <c r="M531" s="9">
        <v>11.6745</v>
      </c>
      <c r="N531" s="9">
        <v>4.7850000000000001</v>
      </c>
      <c r="O531" s="9">
        <v>0.36249999999999999</v>
      </c>
      <c r="P531" s="9">
        <v>1.2522</v>
      </c>
      <c r="Q531" s="9">
        <v>19.053000000000001</v>
      </c>
      <c r="R531" s="9"/>
      <c r="S531" s="11"/>
    </row>
    <row r="532" spans="1:19" ht="15.75">
      <c r="A532" s="13">
        <v>58075</v>
      </c>
      <c r="B532" s="8">
        <f>13.3082 * CHOOSE(CONTROL!$C$12, $D$11, 100%, $F$11)</f>
        <v>13.308199999999999</v>
      </c>
      <c r="C532" s="8">
        <f>13.3186 * CHOOSE(CONTROL!$C$12, $D$11, 100%, $F$11)</f>
        <v>13.3186</v>
      </c>
      <c r="D532" s="8">
        <f>13.303 * CHOOSE( CONTROL!$C$12, $D$11, 100%, $F$11)</f>
        <v>13.303000000000001</v>
      </c>
      <c r="E532" s="12">
        <f>13.3076 * CHOOSE( CONTROL!$C$12, $D$11, 100%, $F$11)</f>
        <v>13.307600000000001</v>
      </c>
      <c r="F532" s="4">
        <f>14.3024 * CHOOSE(CONTROL!$C$12, $D$11, 100%, $F$11)</f>
        <v>14.3024</v>
      </c>
      <c r="G532" s="8">
        <f>12.9828 * CHOOSE( CONTROL!$C$12, $D$11, 100%, $F$11)</f>
        <v>12.982799999999999</v>
      </c>
      <c r="H532" s="4">
        <f>13.8653 * CHOOSE(CONTROL!$C$12, $D$11, 100%, $F$11)</f>
        <v>13.8653</v>
      </c>
      <c r="I532" s="8">
        <f>12.8548 * CHOOSE(CONTROL!$C$12, $D$11, 100%, $F$11)</f>
        <v>12.854799999999999</v>
      </c>
      <c r="J532" s="4">
        <f>12.7472 * CHOOSE(CONTROL!$C$12, $D$11, 100%, $F$11)</f>
        <v>12.747199999999999</v>
      </c>
      <c r="K532" s="4"/>
      <c r="L532" s="9">
        <v>27.3993</v>
      </c>
      <c r="M532" s="9">
        <v>12.063700000000001</v>
      </c>
      <c r="N532" s="9">
        <v>4.9444999999999997</v>
      </c>
      <c r="O532" s="9">
        <v>0.37459999999999999</v>
      </c>
      <c r="P532" s="9">
        <v>1.2939000000000001</v>
      </c>
      <c r="Q532" s="9">
        <v>19.688099999999999</v>
      </c>
      <c r="R532" s="9"/>
      <c r="S532" s="11"/>
    </row>
    <row r="533" spans="1:19" ht="15.75">
      <c r="A533" s="13">
        <v>58106</v>
      </c>
      <c r="B533" s="8">
        <f>13.8166 * CHOOSE(CONTROL!$C$12, $D$11, 100%, $F$11)</f>
        <v>13.816599999999999</v>
      </c>
      <c r="C533" s="8">
        <f>13.8271 * CHOOSE(CONTROL!$C$12, $D$11, 100%, $F$11)</f>
        <v>13.8271</v>
      </c>
      <c r="D533" s="8">
        <f>13.8247 * CHOOSE( CONTROL!$C$12, $D$11, 100%, $F$11)</f>
        <v>13.8247</v>
      </c>
      <c r="E533" s="12">
        <f>13.8245 * CHOOSE( CONTROL!$C$12, $D$11, 100%, $F$11)</f>
        <v>13.8245</v>
      </c>
      <c r="F533" s="4">
        <f>14.8395 * CHOOSE(CONTROL!$C$12, $D$11, 100%, $F$11)</f>
        <v>14.839499999999999</v>
      </c>
      <c r="G533" s="8">
        <f>13.4955 * CHOOSE( CONTROL!$C$12, $D$11, 100%, $F$11)</f>
        <v>13.4955</v>
      </c>
      <c r="H533" s="4">
        <f>14.3889 * CHOOSE(CONTROL!$C$12, $D$11, 100%, $F$11)</f>
        <v>14.3889</v>
      </c>
      <c r="I533" s="8">
        <f>13.3495 * CHOOSE(CONTROL!$C$12, $D$11, 100%, $F$11)</f>
        <v>13.349500000000001</v>
      </c>
      <c r="J533" s="4">
        <f>13.2343 * CHOOSE(CONTROL!$C$12, $D$11, 100%, $F$11)</f>
        <v>13.234299999999999</v>
      </c>
      <c r="K533" s="4"/>
      <c r="L533" s="9">
        <v>27.3993</v>
      </c>
      <c r="M533" s="9">
        <v>12.063700000000001</v>
      </c>
      <c r="N533" s="9">
        <v>4.9444999999999997</v>
      </c>
      <c r="O533" s="9">
        <v>0.37459999999999999</v>
      </c>
      <c r="P533" s="9">
        <v>1.2939000000000001</v>
      </c>
      <c r="Q533" s="9">
        <v>19.688099999999999</v>
      </c>
      <c r="R533" s="9"/>
      <c r="S533" s="11"/>
    </row>
    <row r="534" spans="1:19" ht="15.75">
      <c r="A534" s="13">
        <v>58134</v>
      </c>
      <c r="B534" s="8">
        <f>12.9237 * CHOOSE(CONTROL!$C$12, $D$11, 100%, $F$11)</f>
        <v>12.9237</v>
      </c>
      <c r="C534" s="8">
        <f>12.9342 * CHOOSE(CONTROL!$C$12, $D$11, 100%, $F$11)</f>
        <v>12.934200000000001</v>
      </c>
      <c r="D534" s="8">
        <f>12.9341 * CHOOSE( CONTROL!$C$12, $D$11, 100%, $F$11)</f>
        <v>12.934100000000001</v>
      </c>
      <c r="E534" s="12">
        <f>12.933 * CHOOSE( CONTROL!$C$12, $D$11, 100%, $F$11)</f>
        <v>12.933</v>
      </c>
      <c r="F534" s="4">
        <f>13.9388 * CHOOSE(CONTROL!$C$12, $D$11, 100%, $F$11)</f>
        <v>13.938800000000001</v>
      </c>
      <c r="G534" s="8">
        <f>12.625 * CHOOSE( CONTROL!$C$12, $D$11, 100%, $F$11)</f>
        <v>12.625</v>
      </c>
      <c r="H534" s="4">
        <f>13.5109 * CHOOSE(CONTROL!$C$12, $D$11, 100%, $F$11)</f>
        <v>13.510899999999999</v>
      </c>
      <c r="I534" s="8">
        <f>12.4826 * CHOOSE(CONTROL!$C$12, $D$11, 100%, $F$11)</f>
        <v>12.4826</v>
      </c>
      <c r="J534" s="4">
        <f>12.3788 * CHOOSE(CONTROL!$C$12, $D$11, 100%, $F$11)</f>
        <v>12.3788</v>
      </c>
      <c r="K534" s="4"/>
      <c r="L534" s="9">
        <v>24.747800000000002</v>
      </c>
      <c r="M534" s="9">
        <v>10.8962</v>
      </c>
      <c r="N534" s="9">
        <v>4.4660000000000002</v>
      </c>
      <c r="O534" s="9">
        <v>0.33829999999999999</v>
      </c>
      <c r="P534" s="9">
        <v>1.1687000000000001</v>
      </c>
      <c r="Q534" s="9">
        <v>17.782800000000002</v>
      </c>
      <c r="R534" s="9"/>
      <c r="S534" s="11"/>
    </row>
    <row r="535" spans="1:19" ht="15.75">
      <c r="A535" s="13">
        <v>58165</v>
      </c>
      <c r="B535" s="8">
        <f>12.6487 * CHOOSE(CONTROL!$C$12, $D$11, 100%, $F$11)</f>
        <v>12.6487</v>
      </c>
      <c r="C535" s="8">
        <f>12.6592 * CHOOSE(CONTROL!$C$12, $D$11, 100%, $F$11)</f>
        <v>12.6592</v>
      </c>
      <c r="D535" s="8">
        <f>12.639 * CHOOSE( CONTROL!$C$12, $D$11, 100%, $F$11)</f>
        <v>12.638999999999999</v>
      </c>
      <c r="E535" s="12">
        <f>12.6453 * CHOOSE( CONTROL!$C$12, $D$11, 100%, $F$11)</f>
        <v>12.645300000000001</v>
      </c>
      <c r="F535" s="4">
        <f>13.6476 * CHOOSE(CONTROL!$C$12, $D$11, 100%, $F$11)</f>
        <v>13.647600000000001</v>
      </c>
      <c r="G535" s="8">
        <f>12.3365 * CHOOSE( CONTROL!$C$12, $D$11, 100%, $F$11)</f>
        <v>12.336499999999999</v>
      </c>
      <c r="H535" s="4">
        <f>13.2271 * CHOOSE(CONTROL!$C$12, $D$11, 100%, $F$11)</f>
        <v>13.2271</v>
      </c>
      <c r="I535" s="8">
        <f>12.1795 * CHOOSE(CONTROL!$C$12, $D$11, 100%, $F$11)</f>
        <v>12.179500000000001</v>
      </c>
      <c r="J535" s="4">
        <f>12.1152 * CHOOSE(CONTROL!$C$12, $D$11, 100%, $F$11)</f>
        <v>12.1152</v>
      </c>
      <c r="K535" s="4"/>
      <c r="L535" s="9">
        <v>27.3993</v>
      </c>
      <c r="M535" s="9">
        <v>12.063700000000001</v>
      </c>
      <c r="N535" s="9">
        <v>4.9444999999999997</v>
      </c>
      <c r="O535" s="9">
        <v>0.37459999999999999</v>
      </c>
      <c r="P535" s="9">
        <v>1.2939000000000001</v>
      </c>
      <c r="Q535" s="9">
        <v>19.688099999999999</v>
      </c>
      <c r="R535" s="9"/>
      <c r="S535" s="11"/>
    </row>
    <row r="536" spans="1:19" ht="15.75">
      <c r="A536" s="13">
        <v>58195</v>
      </c>
      <c r="B536" s="8">
        <f>12.8409 * CHOOSE(CONTROL!$C$12, $D$11, 100%, $F$11)</f>
        <v>12.8409</v>
      </c>
      <c r="C536" s="8">
        <f>12.8513 * CHOOSE(CONTROL!$C$12, $D$11, 100%, $F$11)</f>
        <v>12.8513</v>
      </c>
      <c r="D536" s="8">
        <f>12.8545 * CHOOSE( CONTROL!$C$12, $D$11, 100%, $F$11)</f>
        <v>12.8545</v>
      </c>
      <c r="E536" s="12">
        <f>12.8523 * CHOOSE( CONTROL!$C$12, $D$11, 100%, $F$11)</f>
        <v>12.8523</v>
      </c>
      <c r="F536" s="4">
        <f>13.8481 * CHOOSE(CONTROL!$C$12, $D$11, 100%, $F$11)</f>
        <v>13.848100000000001</v>
      </c>
      <c r="G536" s="8">
        <f>12.5117 * CHOOSE( CONTROL!$C$12, $D$11, 100%, $F$11)</f>
        <v>12.511699999999999</v>
      </c>
      <c r="H536" s="4">
        <f>13.4225 * CHOOSE(CONTROL!$C$12, $D$11, 100%, $F$11)</f>
        <v>13.422499999999999</v>
      </c>
      <c r="I536" s="8">
        <f>12.3538 * CHOOSE(CONTROL!$C$12, $D$11, 100%, $F$11)</f>
        <v>12.3538</v>
      </c>
      <c r="J536" s="4">
        <f>12.2994 * CHOOSE(CONTROL!$C$12, $D$11, 100%, $F$11)</f>
        <v>12.2994</v>
      </c>
      <c r="K536" s="4"/>
      <c r="L536" s="9">
        <v>27.988800000000001</v>
      </c>
      <c r="M536" s="9">
        <v>11.6745</v>
      </c>
      <c r="N536" s="9">
        <v>4.7850000000000001</v>
      </c>
      <c r="O536" s="9">
        <v>0.36249999999999999</v>
      </c>
      <c r="P536" s="9">
        <v>1.1798</v>
      </c>
      <c r="Q536" s="9">
        <v>19.053000000000001</v>
      </c>
      <c r="R536" s="9"/>
      <c r="S536" s="11"/>
    </row>
    <row r="537" spans="1:19" ht="15.75">
      <c r="A537" s="13">
        <v>58226</v>
      </c>
      <c r="B537" s="8">
        <f>CHOOSE( CONTROL!$C$29, 13.1872, 13.1829) * CHOOSE(CONTROL!$C$12, $D$11, 100%, $F$11)</f>
        <v>13.187200000000001</v>
      </c>
      <c r="C537" s="8">
        <f>CHOOSE( CONTROL!$C$29, 13.1976, 13.1934) * CHOOSE(CONTROL!$C$12, $D$11, 100%, $F$11)</f>
        <v>13.1976</v>
      </c>
      <c r="D537" s="8">
        <f>CHOOSE( CONTROL!$C$29, 13.1755, 13.1713) * CHOOSE( CONTROL!$C$12, $D$11, 100%, $F$11)</f>
        <v>13.1755</v>
      </c>
      <c r="E537" s="12">
        <f>CHOOSE( CONTROL!$C$29, 13.1819, 13.1777) * CHOOSE( CONTROL!$C$12, $D$11, 100%, $F$11)</f>
        <v>13.181900000000001</v>
      </c>
      <c r="F537" s="4">
        <f>CHOOSE( CONTROL!$C$29, 14.1621, 14.1578) * CHOOSE(CONTROL!$C$12, $D$11, 100%, $F$11)</f>
        <v>14.162100000000001</v>
      </c>
      <c r="G537" s="8">
        <f>CHOOSE( CONTROL!$C$29, 12.8304, 12.8263) * CHOOSE( CONTROL!$C$12, $D$11, 100%, $F$11)</f>
        <v>12.830399999999999</v>
      </c>
      <c r="H537" s="4">
        <f>CHOOSE( CONTROL!$C$29, 13.7285, 13.7244) * CHOOSE(CONTROL!$C$12, $D$11, 100%, $F$11)</f>
        <v>13.7285</v>
      </c>
      <c r="I537" s="8">
        <f>CHOOSE( CONTROL!$C$29, 12.6642, 12.6601) * CHOOSE(CONTROL!$C$12, $D$11, 100%, $F$11)</f>
        <v>12.664199999999999</v>
      </c>
      <c r="J537" s="4">
        <f>CHOOSE( CONTROL!$C$29, 12.6312, 12.6271) * CHOOSE(CONTROL!$C$12, $D$11, 100%, $F$11)</f>
        <v>12.6312</v>
      </c>
      <c r="K537" s="4"/>
      <c r="L537" s="9">
        <v>29.520499999999998</v>
      </c>
      <c r="M537" s="9">
        <v>12.063700000000001</v>
      </c>
      <c r="N537" s="9">
        <v>4.9444999999999997</v>
      </c>
      <c r="O537" s="9">
        <v>0.37459999999999999</v>
      </c>
      <c r="P537" s="9">
        <v>1.2192000000000001</v>
      </c>
      <c r="Q537" s="9">
        <v>19.688099999999999</v>
      </c>
      <c r="R537" s="9"/>
      <c r="S537" s="11"/>
    </row>
    <row r="538" spans="1:19" ht="15.75">
      <c r="A538" s="13">
        <v>58256</v>
      </c>
      <c r="B538" s="8">
        <f>CHOOSE( CONTROL!$C$29, 12.9753, 12.971) * CHOOSE(CONTROL!$C$12, $D$11, 100%, $F$11)</f>
        <v>12.975300000000001</v>
      </c>
      <c r="C538" s="8">
        <f>CHOOSE( CONTROL!$C$29, 12.9857, 12.9815) * CHOOSE(CONTROL!$C$12, $D$11, 100%, $F$11)</f>
        <v>12.9857</v>
      </c>
      <c r="D538" s="8">
        <f>CHOOSE( CONTROL!$C$29, 12.9581, 12.9538) * CHOOSE( CONTROL!$C$12, $D$11, 100%, $F$11)</f>
        <v>12.9581</v>
      </c>
      <c r="E538" s="12">
        <f>CHOOSE( CONTROL!$C$29, 12.9665, 12.9622) * CHOOSE( CONTROL!$C$12, $D$11, 100%, $F$11)</f>
        <v>12.9665</v>
      </c>
      <c r="F538" s="4">
        <f>CHOOSE( CONTROL!$C$29, 13.9398, 13.9355) * CHOOSE(CONTROL!$C$12, $D$11, 100%, $F$11)</f>
        <v>13.9398</v>
      </c>
      <c r="G538" s="8">
        <f>CHOOSE( CONTROL!$C$29, 12.6226, 12.6185) * CHOOSE( CONTROL!$C$12, $D$11, 100%, $F$11)</f>
        <v>12.6226</v>
      </c>
      <c r="H538" s="4">
        <f>CHOOSE( CONTROL!$C$29, 13.5118, 13.5077) * CHOOSE(CONTROL!$C$12, $D$11, 100%, $F$11)</f>
        <v>13.511799999999999</v>
      </c>
      <c r="I538" s="8">
        <f>CHOOSE( CONTROL!$C$29, 12.4632, 12.4592) * CHOOSE(CONTROL!$C$12, $D$11, 100%, $F$11)</f>
        <v>12.463200000000001</v>
      </c>
      <c r="J538" s="4">
        <f>CHOOSE( CONTROL!$C$29, 12.4282, 12.4241) * CHOOSE(CONTROL!$C$12, $D$11, 100%, $F$11)</f>
        <v>12.4282</v>
      </c>
      <c r="K538" s="4"/>
      <c r="L538" s="9">
        <v>28.568200000000001</v>
      </c>
      <c r="M538" s="9">
        <v>11.6745</v>
      </c>
      <c r="N538" s="9">
        <v>4.7850000000000001</v>
      </c>
      <c r="O538" s="9">
        <v>0.36249999999999999</v>
      </c>
      <c r="P538" s="9">
        <v>1.1798</v>
      </c>
      <c r="Q538" s="9">
        <v>19.053000000000001</v>
      </c>
      <c r="R538" s="9"/>
      <c r="S538" s="11"/>
    </row>
    <row r="539" spans="1:19" ht="15.75">
      <c r="A539" s="13">
        <v>58287</v>
      </c>
      <c r="B539" s="8">
        <f>CHOOSE( CONTROL!$C$29, 13.5332, 13.529) * CHOOSE(CONTROL!$C$12, $D$11, 100%, $F$11)</f>
        <v>13.533200000000001</v>
      </c>
      <c r="C539" s="8">
        <f>CHOOSE( CONTROL!$C$29, 13.5437, 13.5394) * CHOOSE(CONTROL!$C$12, $D$11, 100%, $F$11)</f>
        <v>13.543699999999999</v>
      </c>
      <c r="D539" s="8">
        <f>CHOOSE( CONTROL!$C$29, 13.5498, 13.5455) * CHOOSE( CONTROL!$C$12, $D$11, 100%, $F$11)</f>
        <v>13.549799999999999</v>
      </c>
      <c r="E539" s="12">
        <f>CHOOSE( CONTROL!$C$29, 13.546, 13.5417) * CHOOSE( CONTROL!$C$12, $D$11, 100%, $F$11)</f>
        <v>13.545999999999999</v>
      </c>
      <c r="F539" s="4">
        <f>CHOOSE( CONTROL!$C$29, 14.5431, 14.5388) * CHOOSE(CONTROL!$C$12, $D$11, 100%, $F$11)</f>
        <v>14.543100000000001</v>
      </c>
      <c r="G539" s="8">
        <f>CHOOSE( CONTROL!$C$29, 13.1925, 13.1884) * CHOOSE( CONTROL!$C$12, $D$11, 100%, $F$11)</f>
        <v>13.192500000000001</v>
      </c>
      <c r="H539" s="4">
        <f>CHOOSE( CONTROL!$C$29, 14.0999, 14.0958) * CHOOSE(CONTROL!$C$12, $D$11, 100%, $F$11)</f>
        <v>14.0999</v>
      </c>
      <c r="I539" s="8">
        <f>CHOOSE( CONTROL!$C$29, 13.0534, 13.0493) * CHOOSE(CONTROL!$C$12, $D$11, 100%, $F$11)</f>
        <v>13.0534</v>
      </c>
      <c r="J539" s="4">
        <f>CHOOSE( CONTROL!$C$29, 12.9628, 12.9587) * CHOOSE(CONTROL!$C$12, $D$11, 100%, $F$11)</f>
        <v>12.9628</v>
      </c>
      <c r="K539" s="4"/>
      <c r="L539" s="9">
        <v>29.520499999999998</v>
      </c>
      <c r="M539" s="9">
        <v>12.063700000000001</v>
      </c>
      <c r="N539" s="9">
        <v>4.9444999999999997</v>
      </c>
      <c r="O539" s="9">
        <v>0.37459999999999999</v>
      </c>
      <c r="P539" s="9">
        <v>1.2192000000000001</v>
      </c>
      <c r="Q539" s="9">
        <v>19.688099999999999</v>
      </c>
      <c r="R539" s="9"/>
      <c r="S539" s="11"/>
    </row>
    <row r="540" spans="1:19" ht="15.75">
      <c r="A540" s="13">
        <v>58318</v>
      </c>
      <c r="B540" s="8">
        <f>CHOOSE( CONTROL!$C$29, 12.4893, 12.485) * CHOOSE(CONTROL!$C$12, $D$11, 100%, $F$11)</f>
        <v>12.4893</v>
      </c>
      <c r="C540" s="8">
        <f>CHOOSE( CONTROL!$C$29, 12.4997, 12.4955) * CHOOSE(CONTROL!$C$12, $D$11, 100%, $F$11)</f>
        <v>12.499700000000001</v>
      </c>
      <c r="D540" s="8">
        <f>CHOOSE( CONTROL!$C$29, 12.5223, 12.5181) * CHOOSE( CONTROL!$C$12, $D$11, 100%, $F$11)</f>
        <v>12.5223</v>
      </c>
      <c r="E540" s="12">
        <f>CHOOSE( CONTROL!$C$29, 12.5125, 12.5083) * CHOOSE( CONTROL!$C$12, $D$11, 100%, $F$11)</f>
        <v>12.512499999999999</v>
      </c>
      <c r="F540" s="4">
        <f>CHOOSE( CONTROL!$C$29, 13.5278, 13.5236) * CHOOSE(CONTROL!$C$12, $D$11, 100%, $F$11)</f>
        <v>13.527799999999999</v>
      </c>
      <c r="G540" s="8">
        <f>CHOOSE( CONTROL!$C$29, 12.1805, 12.1764) * CHOOSE( CONTROL!$C$12, $D$11, 100%, $F$11)</f>
        <v>12.1805</v>
      </c>
      <c r="H540" s="4">
        <f>CHOOSE( CONTROL!$C$29, 13.1103, 13.1062) * CHOOSE(CONTROL!$C$12, $D$11, 100%, $F$11)</f>
        <v>13.110300000000001</v>
      </c>
      <c r="I540" s="8">
        <f>CHOOSE( CONTROL!$C$29, 12.0441, 12.04) * CHOOSE(CONTROL!$C$12, $D$11, 100%, $F$11)</f>
        <v>12.0441</v>
      </c>
      <c r="J540" s="4">
        <f>CHOOSE( CONTROL!$C$29, 11.9625, 11.9584) * CHOOSE(CONTROL!$C$12, $D$11, 100%, $F$11)</f>
        <v>11.9625</v>
      </c>
      <c r="K540" s="4"/>
      <c r="L540" s="9">
        <v>29.520499999999998</v>
      </c>
      <c r="M540" s="9">
        <v>12.063700000000001</v>
      </c>
      <c r="N540" s="9">
        <v>4.9444999999999997</v>
      </c>
      <c r="O540" s="9">
        <v>0.37459999999999999</v>
      </c>
      <c r="P540" s="9">
        <v>1.2192000000000001</v>
      </c>
      <c r="Q540" s="9">
        <v>19.688099999999999</v>
      </c>
      <c r="R540" s="9"/>
      <c r="S540" s="11"/>
    </row>
    <row r="541" spans="1:19" ht="15.75">
      <c r="A541" s="13">
        <v>58348</v>
      </c>
      <c r="B541" s="8">
        <f>CHOOSE( CONTROL!$C$29, 12.2278, 12.2236) * CHOOSE(CONTROL!$C$12, $D$11, 100%, $F$11)</f>
        <v>12.2278</v>
      </c>
      <c r="C541" s="8">
        <f>CHOOSE( CONTROL!$C$29, 12.2383, 12.234) * CHOOSE(CONTROL!$C$12, $D$11, 100%, $F$11)</f>
        <v>12.238300000000001</v>
      </c>
      <c r="D541" s="8">
        <f>CHOOSE( CONTROL!$C$29, 12.2608, 12.2566) * CHOOSE( CONTROL!$C$12, $D$11, 100%, $F$11)</f>
        <v>12.2608</v>
      </c>
      <c r="E541" s="12">
        <f>CHOOSE( CONTROL!$C$29, 12.251, 12.2468) * CHOOSE( CONTROL!$C$12, $D$11, 100%, $F$11)</f>
        <v>12.250999999999999</v>
      </c>
      <c r="F541" s="4">
        <f>CHOOSE( CONTROL!$C$29, 13.2664, 13.2622) * CHOOSE(CONTROL!$C$12, $D$11, 100%, $F$11)</f>
        <v>13.266400000000001</v>
      </c>
      <c r="G541" s="8">
        <f>CHOOSE( CONTROL!$C$29, 11.9254, 11.9213) * CHOOSE( CONTROL!$C$12, $D$11, 100%, $F$11)</f>
        <v>11.9254</v>
      </c>
      <c r="H541" s="4">
        <f>CHOOSE( CONTROL!$C$29, 12.8555, 12.8513) * CHOOSE(CONTROL!$C$12, $D$11, 100%, $F$11)</f>
        <v>12.855499999999999</v>
      </c>
      <c r="I541" s="8">
        <f>CHOOSE( CONTROL!$C$29, 11.7917, 11.7877) * CHOOSE(CONTROL!$C$12, $D$11, 100%, $F$11)</f>
        <v>11.791700000000001</v>
      </c>
      <c r="J541" s="4">
        <f>CHOOSE( CONTROL!$C$29, 11.712, 11.7079) * CHOOSE(CONTROL!$C$12, $D$11, 100%, $F$11)</f>
        <v>11.712</v>
      </c>
      <c r="K541" s="4"/>
      <c r="L541" s="9">
        <v>28.568200000000001</v>
      </c>
      <c r="M541" s="9">
        <v>11.6745</v>
      </c>
      <c r="N541" s="9">
        <v>4.7850000000000001</v>
      </c>
      <c r="O541" s="9">
        <v>0.36249999999999999</v>
      </c>
      <c r="P541" s="9">
        <v>1.1798</v>
      </c>
      <c r="Q541" s="9">
        <v>19.053000000000001</v>
      </c>
      <c r="R541" s="9"/>
      <c r="S541" s="11"/>
    </row>
    <row r="542" spans="1:19" ht="15.75">
      <c r="A542" s="13">
        <v>58379</v>
      </c>
      <c r="B542" s="8">
        <f>12.7664 * CHOOSE(CONTROL!$C$12, $D$11, 100%, $F$11)</f>
        <v>12.766400000000001</v>
      </c>
      <c r="C542" s="8">
        <f>12.7768 * CHOOSE(CONTROL!$C$12, $D$11, 100%, $F$11)</f>
        <v>12.7768</v>
      </c>
      <c r="D542" s="8">
        <f>12.7813 * CHOOSE( CONTROL!$C$12, $D$11, 100%, $F$11)</f>
        <v>12.7813</v>
      </c>
      <c r="E542" s="12">
        <f>12.7787 * CHOOSE( CONTROL!$C$12, $D$11, 100%, $F$11)</f>
        <v>12.778700000000001</v>
      </c>
      <c r="F542" s="4">
        <f>13.7737 * CHOOSE(CONTROL!$C$12, $D$11, 100%, $F$11)</f>
        <v>13.7737</v>
      </c>
      <c r="G542" s="8">
        <f>12.4406 * CHOOSE( CONTROL!$C$12, $D$11, 100%, $F$11)</f>
        <v>12.4406</v>
      </c>
      <c r="H542" s="4">
        <f>13.3499 * CHOOSE(CONTROL!$C$12, $D$11, 100%, $F$11)</f>
        <v>13.3499</v>
      </c>
      <c r="I542" s="8">
        <f>12.3047 * CHOOSE(CONTROL!$C$12, $D$11, 100%, $F$11)</f>
        <v>12.3047</v>
      </c>
      <c r="J542" s="4">
        <f>12.228 * CHOOSE(CONTROL!$C$12, $D$11, 100%, $F$11)</f>
        <v>12.228</v>
      </c>
      <c r="K542" s="4"/>
      <c r="L542" s="9">
        <v>28.921800000000001</v>
      </c>
      <c r="M542" s="9">
        <v>12.063700000000001</v>
      </c>
      <c r="N542" s="9">
        <v>4.9444999999999997</v>
      </c>
      <c r="O542" s="9">
        <v>0.37459999999999999</v>
      </c>
      <c r="P542" s="9">
        <v>1.2192000000000001</v>
      </c>
      <c r="Q542" s="9">
        <v>19.688099999999999</v>
      </c>
      <c r="R542" s="9"/>
      <c r="S542" s="11"/>
    </row>
    <row r="543" spans="1:19" ht="15.75">
      <c r="A543" s="13">
        <v>58409</v>
      </c>
      <c r="B543" s="8">
        <f>13.7683 * CHOOSE(CONTROL!$C$12, $D$11, 100%, $F$11)</f>
        <v>13.7683</v>
      </c>
      <c r="C543" s="8">
        <f>13.7787 * CHOOSE(CONTROL!$C$12, $D$11, 100%, $F$11)</f>
        <v>13.778700000000001</v>
      </c>
      <c r="D543" s="8">
        <f>13.7611 * CHOOSE( CONTROL!$C$12, $D$11, 100%, $F$11)</f>
        <v>13.761100000000001</v>
      </c>
      <c r="E543" s="12">
        <f>13.7664 * CHOOSE( CONTROL!$C$12, $D$11, 100%, $F$11)</f>
        <v>13.766400000000001</v>
      </c>
      <c r="F543" s="4">
        <f>14.7625 * CHOOSE(CONTROL!$C$12, $D$11, 100%, $F$11)</f>
        <v>14.762499999999999</v>
      </c>
      <c r="G543" s="8">
        <f>13.4297 * CHOOSE( CONTROL!$C$12, $D$11, 100%, $F$11)</f>
        <v>13.4297</v>
      </c>
      <c r="H543" s="4">
        <f>14.3138 * CHOOSE(CONTROL!$C$12, $D$11, 100%, $F$11)</f>
        <v>14.313800000000001</v>
      </c>
      <c r="I543" s="8">
        <f>13.2886 * CHOOSE(CONTROL!$C$12, $D$11, 100%, $F$11)</f>
        <v>13.288600000000001</v>
      </c>
      <c r="J543" s="4">
        <f>13.188 * CHOOSE(CONTROL!$C$12, $D$11, 100%, $F$11)</f>
        <v>13.188000000000001</v>
      </c>
      <c r="K543" s="4"/>
      <c r="L543" s="9">
        <v>26.515499999999999</v>
      </c>
      <c r="M543" s="9">
        <v>11.6745</v>
      </c>
      <c r="N543" s="9">
        <v>4.7850000000000001</v>
      </c>
      <c r="O543" s="9">
        <v>0.36249999999999999</v>
      </c>
      <c r="P543" s="9">
        <v>1.2522</v>
      </c>
      <c r="Q543" s="9">
        <v>19.053000000000001</v>
      </c>
      <c r="R543" s="9"/>
      <c r="S543" s="11"/>
    </row>
    <row r="544" spans="1:19" ht="15.75">
      <c r="A544" s="13">
        <v>58440</v>
      </c>
      <c r="B544" s="8">
        <f>13.7433 * CHOOSE(CONTROL!$C$12, $D$11, 100%, $F$11)</f>
        <v>13.7433</v>
      </c>
      <c r="C544" s="8">
        <f>13.7537 * CHOOSE(CONTROL!$C$12, $D$11, 100%, $F$11)</f>
        <v>13.7537</v>
      </c>
      <c r="D544" s="8">
        <f>13.7381 * CHOOSE( CONTROL!$C$12, $D$11, 100%, $F$11)</f>
        <v>13.738099999999999</v>
      </c>
      <c r="E544" s="12">
        <f>13.7427 * CHOOSE( CONTROL!$C$12, $D$11, 100%, $F$11)</f>
        <v>13.742699999999999</v>
      </c>
      <c r="F544" s="4">
        <f>14.7375 * CHOOSE(CONTROL!$C$12, $D$11, 100%, $F$11)</f>
        <v>14.737500000000001</v>
      </c>
      <c r="G544" s="8">
        <f>13.4069 * CHOOSE( CONTROL!$C$12, $D$11, 100%, $F$11)</f>
        <v>13.4069</v>
      </c>
      <c r="H544" s="4">
        <f>14.2894 * CHOOSE(CONTROL!$C$12, $D$11, 100%, $F$11)</f>
        <v>14.289400000000001</v>
      </c>
      <c r="I544" s="8">
        <f>13.2718 * CHOOSE(CONTROL!$C$12, $D$11, 100%, $F$11)</f>
        <v>13.271800000000001</v>
      </c>
      <c r="J544" s="4">
        <f>13.164 * CHOOSE(CONTROL!$C$12, $D$11, 100%, $F$11)</f>
        <v>13.164</v>
      </c>
      <c r="K544" s="4"/>
      <c r="L544" s="9">
        <v>27.3993</v>
      </c>
      <c r="M544" s="9">
        <v>12.063700000000001</v>
      </c>
      <c r="N544" s="9">
        <v>4.9444999999999997</v>
      </c>
      <c r="O544" s="9">
        <v>0.37459999999999999</v>
      </c>
      <c r="P544" s="9">
        <v>1.2939000000000001</v>
      </c>
      <c r="Q544" s="9">
        <v>19.688099999999999</v>
      </c>
      <c r="R544" s="9"/>
      <c r="S544" s="11"/>
    </row>
    <row r="545" spans="1:19" ht="15.75">
      <c r="A545" s="13">
        <v>58471</v>
      </c>
      <c r="B545" s="8">
        <f>14.2683 * CHOOSE(CONTROL!$C$12, $D$11, 100%, $F$11)</f>
        <v>14.2683</v>
      </c>
      <c r="C545" s="8">
        <f>14.2788 * CHOOSE(CONTROL!$C$12, $D$11, 100%, $F$11)</f>
        <v>14.2788</v>
      </c>
      <c r="D545" s="8">
        <f>14.2764 * CHOOSE( CONTROL!$C$12, $D$11, 100%, $F$11)</f>
        <v>14.276400000000001</v>
      </c>
      <c r="E545" s="12">
        <f>14.2762 * CHOOSE( CONTROL!$C$12, $D$11, 100%, $F$11)</f>
        <v>14.276199999999999</v>
      </c>
      <c r="F545" s="4">
        <f>15.2912 * CHOOSE(CONTROL!$C$12, $D$11, 100%, $F$11)</f>
        <v>15.2912</v>
      </c>
      <c r="G545" s="8">
        <f>13.9358 * CHOOSE( CONTROL!$C$12, $D$11, 100%, $F$11)</f>
        <v>13.9358</v>
      </c>
      <c r="H545" s="4">
        <f>14.8292 * CHOOSE(CONTROL!$C$12, $D$11, 100%, $F$11)</f>
        <v>14.8292</v>
      </c>
      <c r="I545" s="8">
        <f>13.7826 * CHOOSE(CONTROL!$C$12, $D$11, 100%, $F$11)</f>
        <v>13.7826</v>
      </c>
      <c r="J545" s="4">
        <f>13.6672 * CHOOSE(CONTROL!$C$12, $D$11, 100%, $F$11)</f>
        <v>13.667199999999999</v>
      </c>
      <c r="K545" s="4"/>
      <c r="L545" s="9">
        <v>27.3993</v>
      </c>
      <c r="M545" s="9">
        <v>12.063700000000001</v>
      </c>
      <c r="N545" s="9">
        <v>4.9444999999999997</v>
      </c>
      <c r="O545" s="9">
        <v>0.37459999999999999</v>
      </c>
      <c r="P545" s="9">
        <v>1.2939000000000001</v>
      </c>
      <c r="Q545" s="9">
        <v>19.688099999999999</v>
      </c>
      <c r="R545" s="9"/>
      <c r="S545" s="11"/>
    </row>
    <row r="546" spans="1:19" ht="15.75">
      <c r="A546" s="13">
        <v>58499</v>
      </c>
      <c r="B546" s="8">
        <f>13.3462 * CHOOSE(CONTROL!$C$12, $D$11, 100%, $F$11)</f>
        <v>13.3462</v>
      </c>
      <c r="C546" s="8">
        <f>13.3567 * CHOOSE(CONTROL!$C$12, $D$11, 100%, $F$11)</f>
        <v>13.3567</v>
      </c>
      <c r="D546" s="8">
        <f>13.3566 * CHOOSE( CONTROL!$C$12, $D$11, 100%, $F$11)</f>
        <v>13.3566</v>
      </c>
      <c r="E546" s="12">
        <f>13.3555 * CHOOSE( CONTROL!$C$12, $D$11, 100%, $F$11)</f>
        <v>13.355499999999999</v>
      </c>
      <c r="F546" s="4">
        <f>14.3613 * CHOOSE(CONTROL!$C$12, $D$11, 100%, $F$11)</f>
        <v>14.3613</v>
      </c>
      <c r="G546" s="8">
        <f>13.0369 * CHOOSE( CONTROL!$C$12, $D$11, 100%, $F$11)</f>
        <v>13.036899999999999</v>
      </c>
      <c r="H546" s="4">
        <f>13.9227 * CHOOSE(CONTROL!$C$12, $D$11, 100%, $F$11)</f>
        <v>13.922700000000001</v>
      </c>
      <c r="I546" s="8">
        <f>12.8876 * CHOOSE(CONTROL!$C$12, $D$11, 100%, $F$11)</f>
        <v>12.887600000000001</v>
      </c>
      <c r="J546" s="4">
        <f>12.7836 * CHOOSE(CONTROL!$C$12, $D$11, 100%, $F$11)</f>
        <v>12.7836</v>
      </c>
      <c r="K546" s="4"/>
      <c r="L546" s="9">
        <v>25.631599999999999</v>
      </c>
      <c r="M546" s="9">
        <v>11.285299999999999</v>
      </c>
      <c r="N546" s="9">
        <v>4.6254999999999997</v>
      </c>
      <c r="O546" s="9">
        <v>0.35039999999999999</v>
      </c>
      <c r="P546" s="9">
        <v>1.2104999999999999</v>
      </c>
      <c r="Q546" s="9">
        <v>18.417899999999999</v>
      </c>
      <c r="R546" s="9"/>
      <c r="S546" s="11"/>
    </row>
    <row r="547" spans="1:19" ht="15.75">
      <c r="A547" s="13">
        <v>58531</v>
      </c>
      <c r="B547" s="8">
        <f>13.0622 * CHOOSE(CONTROL!$C$12, $D$11, 100%, $F$11)</f>
        <v>13.062200000000001</v>
      </c>
      <c r="C547" s="8">
        <f>13.0727 * CHOOSE(CONTROL!$C$12, $D$11, 100%, $F$11)</f>
        <v>13.072699999999999</v>
      </c>
      <c r="D547" s="8">
        <f>13.0525 * CHOOSE( CONTROL!$C$12, $D$11, 100%, $F$11)</f>
        <v>13.0525</v>
      </c>
      <c r="E547" s="12">
        <f>13.0588 * CHOOSE( CONTROL!$C$12, $D$11, 100%, $F$11)</f>
        <v>13.0588</v>
      </c>
      <c r="F547" s="4">
        <f>14.0611 * CHOOSE(CONTROL!$C$12, $D$11, 100%, $F$11)</f>
        <v>14.0611</v>
      </c>
      <c r="G547" s="8">
        <f>12.7395 * CHOOSE( CONTROL!$C$12, $D$11, 100%, $F$11)</f>
        <v>12.7395</v>
      </c>
      <c r="H547" s="4">
        <f>13.6301 * CHOOSE(CONTROL!$C$12, $D$11, 100%, $F$11)</f>
        <v>13.630100000000001</v>
      </c>
      <c r="I547" s="8">
        <f>12.5759 * CHOOSE(CONTROL!$C$12, $D$11, 100%, $F$11)</f>
        <v>12.575900000000001</v>
      </c>
      <c r="J547" s="4">
        <f>12.5115 * CHOOSE(CONTROL!$C$12, $D$11, 100%, $F$11)</f>
        <v>12.5115</v>
      </c>
      <c r="K547" s="4"/>
      <c r="L547" s="9">
        <v>27.3993</v>
      </c>
      <c r="M547" s="9">
        <v>12.063700000000001</v>
      </c>
      <c r="N547" s="9">
        <v>4.9444999999999997</v>
      </c>
      <c r="O547" s="9">
        <v>0.37459999999999999</v>
      </c>
      <c r="P547" s="9">
        <v>1.2939000000000001</v>
      </c>
      <c r="Q547" s="9">
        <v>19.688099999999999</v>
      </c>
      <c r="R547" s="9"/>
      <c r="S547" s="11"/>
    </row>
    <row r="548" spans="1:19" ht="15.75">
      <c r="A548" s="13">
        <v>58561</v>
      </c>
      <c r="B548" s="8">
        <f>13.2607 * CHOOSE(CONTROL!$C$12, $D$11, 100%, $F$11)</f>
        <v>13.2607</v>
      </c>
      <c r="C548" s="8">
        <f>13.2711 * CHOOSE(CONTROL!$C$12, $D$11, 100%, $F$11)</f>
        <v>13.271100000000001</v>
      </c>
      <c r="D548" s="8">
        <f>13.2743 * CHOOSE( CONTROL!$C$12, $D$11, 100%, $F$11)</f>
        <v>13.2743</v>
      </c>
      <c r="E548" s="12">
        <f>13.2721 * CHOOSE( CONTROL!$C$12, $D$11, 100%, $F$11)</f>
        <v>13.2721</v>
      </c>
      <c r="F548" s="4">
        <f>14.2679 * CHOOSE(CONTROL!$C$12, $D$11, 100%, $F$11)</f>
        <v>14.267899999999999</v>
      </c>
      <c r="G548" s="8">
        <f>12.9209 * CHOOSE( CONTROL!$C$12, $D$11, 100%, $F$11)</f>
        <v>12.9209</v>
      </c>
      <c r="H548" s="4">
        <f>13.8317 * CHOOSE(CONTROL!$C$12, $D$11, 100%, $F$11)</f>
        <v>13.8317</v>
      </c>
      <c r="I548" s="8">
        <f>12.7562 * CHOOSE(CONTROL!$C$12, $D$11, 100%, $F$11)</f>
        <v>12.7562</v>
      </c>
      <c r="J548" s="4">
        <f>12.7016 * CHOOSE(CONTROL!$C$12, $D$11, 100%, $F$11)</f>
        <v>12.701599999999999</v>
      </c>
      <c r="K548" s="4"/>
      <c r="L548" s="9">
        <v>27.988800000000001</v>
      </c>
      <c r="M548" s="9">
        <v>11.6745</v>
      </c>
      <c r="N548" s="9">
        <v>4.7850000000000001</v>
      </c>
      <c r="O548" s="9">
        <v>0.36249999999999999</v>
      </c>
      <c r="P548" s="9">
        <v>1.1798</v>
      </c>
      <c r="Q548" s="9">
        <v>19.053000000000001</v>
      </c>
      <c r="R548" s="9"/>
      <c r="S548" s="11"/>
    </row>
    <row r="549" spans="1:19" ht="15.75">
      <c r="A549" s="13">
        <v>58592</v>
      </c>
      <c r="B549" s="8">
        <f>CHOOSE( CONTROL!$C$29, 13.6181, 13.6139) * CHOOSE(CONTROL!$C$12, $D$11, 100%, $F$11)</f>
        <v>13.6181</v>
      </c>
      <c r="C549" s="8">
        <f>CHOOSE( CONTROL!$C$29, 13.6286, 13.6243) * CHOOSE(CONTROL!$C$12, $D$11, 100%, $F$11)</f>
        <v>13.6286</v>
      </c>
      <c r="D549" s="8">
        <f>CHOOSE( CONTROL!$C$29, 13.6065, 13.6022) * CHOOSE( CONTROL!$C$12, $D$11, 100%, $F$11)</f>
        <v>13.6065</v>
      </c>
      <c r="E549" s="12">
        <f>CHOOSE( CONTROL!$C$29, 13.6129, 13.6086) * CHOOSE( CONTROL!$C$12, $D$11, 100%, $F$11)</f>
        <v>13.6129</v>
      </c>
      <c r="F549" s="4">
        <f>CHOOSE( CONTROL!$C$29, 14.593, 14.5888) * CHOOSE(CONTROL!$C$12, $D$11, 100%, $F$11)</f>
        <v>14.593</v>
      </c>
      <c r="G549" s="8">
        <f>CHOOSE( CONTROL!$C$29, 13.2505, 13.2464) * CHOOSE( CONTROL!$C$12, $D$11, 100%, $F$11)</f>
        <v>13.250500000000001</v>
      </c>
      <c r="H549" s="4">
        <f>CHOOSE( CONTROL!$C$29, 14.1486, 14.1445) * CHOOSE(CONTROL!$C$12, $D$11, 100%, $F$11)</f>
        <v>14.1486</v>
      </c>
      <c r="I549" s="8">
        <f>CHOOSE( CONTROL!$C$29, 13.0774, 13.0733) * CHOOSE(CONTROL!$C$12, $D$11, 100%, $F$11)</f>
        <v>13.077400000000001</v>
      </c>
      <c r="J549" s="4">
        <f>CHOOSE( CONTROL!$C$29, 13.0441, 13.0401) * CHOOSE(CONTROL!$C$12, $D$11, 100%, $F$11)</f>
        <v>13.0441</v>
      </c>
      <c r="K549" s="4"/>
      <c r="L549" s="9">
        <v>29.520499999999998</v>
      </c>
      <c r="M549" s="9">
        <v>12.063700000000001</v>
      </c>
      <c r="N549" s="9">
        <v>4.9444999999999997</v>
      </c>
      <c r="O549" s="9">
        <v>0.37459999999999999</v>
      </c>
      <c r="P549" s="9">
        <v>1.2192000000000001</v>
      </c>
      <c r="Q549" s="9">
        <v>19.688099999999999</v>
      </c>
      <c r="R549" s="9"/>
      <c r="S549" s="11"/>
    </row>
    <row r="550" spans="1:19" ht="15.75">
      <c r="A550" s="13">
        <v>58622</v>
      </c>
      <c r="B550" s="8">
        <f>CHOOSE( CONTROL!$C$29, 13.3993, 13.3951) * CHOOSE(CONTROL!$C$12, $D$11, 100%, $F$11)</f>
        <v>13.3993</v>
      </c>
      <c r="C550" s="8">
        <f>CHOOSE( CONTROL!$C$29, 13.4098, 13.4055) * CHOOSE(CONTROL!$C$12, $D$11, 100%, $F$11)</f>
        <v>13.409800000000001</v>
      </c>
      <c r="D550" s="8">
        <f>CHOOSE( CONTROL!$C$29, 13.3821, 13.3778) * CHOOSE( CONTROL!$C$12, $D$11, 100%, $F$11)</f>
        <v>13.382099999999999</v>
      </c>
      <c r="E550" s="12">
        <f>CHOOSE( CONTROL!$C$29, 13.3905, 13.3863) * CHOOSE( CONTROL!$C$12, $D$11, 100%, $F$11)</f>
        <v>13.390499999999999</v>
      </c>
      <c r="F550" s="4">
        <f>CHOOSE( CONTROL!$C$29, 14.3638, 14.3595) * CHOOSE(CONTROL!$C$12, $D$11, 100%, $F$11)</f>
        <v>14.363799999999999</v>
      </c>
      <c r="G550" s="8">
        <f>CHOOSE( CONTROL!$C$29, 13.036, 13.0318) * CHOOSE( CONTROL!$C$12, $D$11, 100%, $F$11)</f>
        <v>13.036</v>
      </c>
      <c r="H550" s="4">
        <f>CHOOSE( CONTROL!$C$29, 13.9252, 13.921) * CHOOSE(CONTROL!$C$12, $D$11, 100%, $F$11)</f>
        <v>13.9252</v>
      </c>
      <c r="I550" s="8">
        <f>CHOOSE( CONTROL!$C$29, 12.8698, 12.8657) * CHOOSE(CONTROL!$C$12, $D$11, 100%, $F$11)</f>
        <v>12.8698</v>
      </c>
      <c r="J550" s="4">
        <f>CHOOSE( CONTROL!$C$29, 12.8345, 12.8304) * CHOOSE(CONTROL!$C$12, $D$11, 100%, $F$11)</f>
        <v>12.8345</v>
      </c>
      <c r="K550" s="4"/>
      <c r="L550" s="9">
        <v>28.568200000000001</v>
      </c>
      <c r="M550" s="9">
        <v>11.6745</v>
      </c>
      <c r="N550" s="9">
        <v>4.7850000000000001</v>
      </c>
      <c r="O550" s="9">
        <v>0.36249999999999999</v>
      </c>
      <c r="P550" s="9">
        <v>1.1798</v>
      </c>
      <c r="Q550" s="9">
        <v>19.053000000000001</v>
      </c>
      <c r="R550" s="9"/>
      <c r="S550" s="11"/>
    </row>
    <row r="551" spans="1:19" ht="15.75">
      <c r="A551" s="13">
        <v>58653</v>
      </c>
      <c r="B551" s="8">
        <f>CHOOSE( CONTROL!$C$29, 13.9755, 13.9713) * CHOOSE(CONTROL!$C$12, $D$11, 100%, $F$11)</f>
        <v>13.9755</v>
      </c>
      <c r="C551" s="8">
        <f>CHOOSE( CONTROL!$C$29, 13.9859, 13.9817) * CHOOSE(CONTROL!$C$12, $D$11, 100%, $F$11)</f>
        <v>13.985900000000001</v>
      </c>
      <c r="D551" s="8">
        <f>CHOOSE( CONTROL!$C$29, 13.9921, 13.9878) * CHOOSE( CONTROL!$C$12, $D$11, 100%, $F$11)</f>
        <v>13.992100000000001</v>
      </c>
      <c r="E551" s="12">
        <f>CHOOSE( CONTROL!$C$29, 13.9883, 13.984) * CHOOSE( CONTROL!$C$12, $D$11, 100%, $F$11)</f>
        <v>13.988300000000001</v>
      </c>
      <c r="F551" s="4">
        <f>CHOOSE( CONTROL!$C$29, 14.9854, 14.9811) * CHOOSE(CONTROL!$C$12, $D$11, 100%, $F$11)</f>
        <v>14.9854</v>
      </c>
      <c r="G551" s="8">
        <f>CHOOSE( CONTROL!$C$29, 13.6237, 13.6195) * CHOOSE( CONTROL!$C$12, $D$11, 100%, $F$11)</f>
        <v>13.623699999999999</v>
      </c>
      <c r="H551" s="4">
        <f>CHOOSE( CONTROL!$C$29, 14.5311, 14.5269) * CHOOSE(CONTROL!$C$12, $D$11, 100%, $F$11)</f>
        <v>14.5311</v>
      </c>
      <c r="I551" s="8">
        <f>CHOOSE( CONTROL!$C$29, 13.4774, 13.4734) * CHOOSE(CONTROL!$C$12, $D$11, 100%, $F$11)</f>
        <v>13.477399999999999</v>
      </c>
      <c r="J551" s="4">
        <f>CHOOSE( CONTROL!$C$29, 13.3866, 13.3825) * CHOOSE(CONTROL!$C$12, $D$11, 100%, $F$11)</f>
        <v>13.3866</v>
      </c>
      <c r="K551" s="4"/>
      <c r="L551" s="9">
        <v>29.520499999999998</v>
      </c>
      <c r="M551" s="9">
        <v>12.063700000000001</v>
      </c>
      <c r="N551" s="9">
        <v>4.9444999999999997</v>
      </c>
      <c r="O551" s="9">
        <v>0.37459999999999999</v>
      </c>
      <c r="P551" s="9">
        <v>1.2192000000000001</v>
      </c>
      <c r="Q551" s="9">
        <v>19.688099999999999</v>
      </c>
      <c r="R551" s="9"/>
      <c r="S551" s="11"/>
    </row>
    <row r="552" spans="1:19" ht="15.75">
      <c r="A552" s="13">
        <v>58684</v>
      </c>
      <c r="B552" s="8">
        <f>CHOOSE( CONTROL!$C$29, 12.8974, 12.8932) * CHOOSE(CONTROL!$C$12, $D$11, 100%, $F$11)</f>
        <v>12.897399999999999</v>
      </c>
      <c r="C552" s="8">
        <f>CHOOSE( CONTROL!$C$29, 12.9078, 12.9036) * CHOOSE(CONTROL!$C$12, $D$11, 100%, $F$11)</f>
        <v>12.9078</v>
      </c>
      <c r="D552" s="8">
        <f>CHOOSE( CONTROL!$C$29, 12.9304, 12.9262) * CHOOSE( CONTROL!$C$12, $D$11, 100%, $F$11)</f>
        <v>12.930400000000001</v>
      </c>
      <c r="E552" s="12">
        <f>CHOOSE( CONTROL!$C$29, 12.9206, 12.9164) * CHOOSE( CONTROL!$C$12, $D$11, 100%, $F$11)</f>
        <v>12.9206</v>
      </c>
      <c r="F552" s="4">
        <f>CHOOSE( CONTROL!$C$29, 13.936, 13.9317) * CHOOSE(CONTROL!$C$12, $D$11, 100%, $F$11)</f>
        <v>13.936</v>
      </c>
      <c r="G552" s="8">
        <f>CHOOSE( CONTROL!$C$29, 12.5784, 12.5742) * CHOOSE( CONTROL!$C$12, $D$11, 100%, $F$11)</f>
        <v>12.5784</v>
      </c>
      <c r="H552" s="4">
        <f>CHOOSE( CONTROL!$C$29, 13.5081, 13.504) * CHOOSE(CONTROL!$C$12, $D$11, 100%, $F$11)</f>
        <v>13.508100000000001</v>
      </c>
      <c r="I552" s="8">
        <f>CHOOSE( CONTROL!$C$29, 12.4353, 12.4313) * CHOOSE(CONTROL!$C$12, $D$11, 100%, $F$11)</f>
        <v>12.4353</v>
      </c>
      <c r="J552" s="4">
        <f>CHOOSE( CONTROL!$C$29, 12.3535, 12.3495) * CHOOSE(CONTROL!$C$12, $D$11, 100%, $F$11)</f>
        <v>12.3535</v>
      </c>
      <c r="K552" s="4"/>
      <c r="L552" s="9">
        <v>29.520499999999998</v>
      </c>
      <c r="M552" s="9">
        <v>12.063700000000001</v>
      </c>
      <c r="N552" s="9">
        <v>4.9444999999999997</v>
      </c>
      <c r="O552" s="9">
        <v>0.37459999999999999</v>
      </c>
      <c r="P552" s="9">
        <v>1.2192000000000001</v>
      </c>
      <c r="Q552" s="9">
        <v>19.688099999999999</v>
      </c>
      <c r="R552" s="9"/>
      <c r="S552" s="11"/>
    </row>
    <row r="553" spans="1:19" ht="15.75">
      <c r="A553" s="13">
        <v>58714</v>
      </c>
      <c r="B553" s="8">
        <f>CHOOSE( CONTROL!$C$29, 12.6274, 12.6232) * CHOOSE(CONTROL!$C$12, $D$11, 100%, $F$11)</f>
        <v>12.6274</v>
      </c>
      <c r="C553" s="8">
        <f>CHOOSE( CONTROL!$C$29, 12.6379, 12.6336) * CHOOSE(CONTROL!$C$12, $D$11, 100%, $F$11)</f>
        <v>12.6379</v>
      </c>
      <c r="D553" s="8">
        <f>CHOOSE( CONTROL!$C$29, 12.6604, 12.6562) * CHOOSE( CONTROL!$C$12, $D$11, 100%, $F$11)</f>
        <v>12.660399999999999</v>
      </c>
      <c r="E553" s="12">
        <f>CHOOSE( CONTROL!$C$29, 12.6506, 12.6464) * CHOOSE( CONTROL!$C$12, $D$11, 100%, $F$11)</f>
        <v>12.650600000000001</v>
      </c>
      <c r="F553" s="4">
        <f>CHOOSE( CONTROL!$C$29, 13.666, 13.6618) * CHOOSE(CONTROL!$C$12, $D$11, 100%, $F$11)</f>
        <v>13.666</v>
      </c>
      <c r="G553" s="8">
        <f>CHOOSE( CONTROL!$C$29, 12.3149, 12.3108) * CHOOSE( CONTROL!$C$12, $D$11, 100%, $F$11)</f>
        <v>12.3149</v>
      </c>
      <c r="H553" s="4">
        <f>CHOOSE( CONTROL!$C$29, 13.245, 13.2408) * CHOOSE(CONTROL!$C$12, $D$11, 100%, $F$11)</f>
        <v>13.244999999999999</v>
      </c>
      <c r="I553" s="8">
        <f>CHOOSE( CONTROL!$C$29, 12.1748, 12.1707) * CHOOSE(CONTROL!$C$12, $D$11, 100%, $F$11)</f>
        <v>12.174799999999999</v>
      </c>
      <c r="J553" s="4">
        <f>CHOOSE( CONTROL!$C$29, 12.0949, 12.0908) * CHOOSE(CONTROL!$C$12, $D$11, 100%, $F$11)</f>
        <v>12.094900000000001</v>
      </c>
      <c r="K553" s="4"/>
      <c r="L553" s="9">
        <v>28.568200000000001</v>
      </c>
      <c r="M553" s="9">
        <v>11.6745</v>
      </c>
      <c r="N553" s="9">
        <v>4.7850000000000001</v>
      </c>
      <c r="O553" s="9">
        <v>0.36249999999999999</v>
      </c>
      <c r="P553" s="9">
        <v>1.1798</v>
      </c>
      <c r="Q553" s="9">
        <v>19.053000000000001</v>
      </c>
      <c r="R553" s="9"/>
      <c r="S553" s="11"/>
    </row>
    <row r="554" spans="1:19" ht="15.75">
      <c r="A554" s="13">
        <v>58745</v>
      </c>
      <c r="B554" s="8">
        <f>13.1837 * CHOOSE(CONTROL!$C$12, $D$11, 100%, $F$11)</f>
        <v>13.1837</v>
      </c>
      <c r="C554" s="8">
        <f>13.1942 * CHOOSE(CONTROL!$C$12, $D$11, 100%, $F$11)</f>
        <v>13.1942</v>
      </c>
      <c r="D554" s="8">
        <f>13.1986 * CHOOSE( CONTROL!$C$12, $D$11, 100%, $F$11)</f>
        <v>13.198600000000001</v>
      </c>
      <c r="E554" s="12">
        <f>13.196 * CHOOSE( CONTROL!$C$12, $D$11, 100%, $F$11)</f>
        <v>13.196</v>
      </c>
      <c r="F554" s="4">
        <f>14.191 * CHOOSE(CONTROL!$C$12, $D$11, 100%, $F$11)</f>
        <v>14.191000000000001</v>
      </c>
      <c r="G554" s="8">
        <f>12.8475 * CHOOSE( CONTROL!$C$12, $D$11, 100%, $F$11)</f>
        <v>12.8475</v>
      </c>
      <c r="H554" s="4">
        <f>13.7567 * CHOOSE(CONTROL!$C$12, $D$11, 100%, $F$11)</f>
        <v>13.7567</v>
      </c>
      <c r="I554" s="8">
        <f>12.7048 * CHOOSE(CONTROL!$C$12, $D$11, 100%, $F$11)</f>
        <v>12.704800000000001</v>
      </c>
      <c r="J554" s="4">
        <f>12.6279 * CHOOSE(CONTROL!$C$12, $D$11, 100%, $F$11)</f>
        <v>12.6279</v>
      </c>
      <c r="K554" s="4"/>
      <c r="L554" s="9">
        <v>28.921800000000001</v>
      </c>
      <c r="M554" s="9">
        <v>12.063700000000001</v>
      </c>
      <c r="N554" s="9">
        <v>4.9444999999999997</v>
      </c>
      <c r="O554" s="9">
        <v>0.37459999999999999</v>
      </c>
      <c r="P554" s="9">
        <v>1.2192000000000001</v>
      </c>
      <c r="Q554" s="9">
        <v>19.688099999999999</v>
      </c>
      <c r="R554" s="9"/>
      <c r="S554" s="11"/>
    </row>
    <row r="555" spans="1:19" ht="15.75">
      <c r="A555" s="13">
        <v>58775</v>
      </c>
      <c r="B555" s="8">
        <f>14.2184 * CHOOSE(CONTROL!$C$12, $D$11, 100%, $F$11)</f>
        <v>14.218400000000001</v>
      </c>
      <c r="C555" s="8">
        <f>14.2288 * CHOOSE(CONTROL!$C$12, $D$11, 100%, $F$11)</f>
        <v>14.2288</v>
      </c>
      <c r="D555" s="8">
        <f>14.2112 * CHOOSE( CONTROL!$C$12, $D$11, 100%, $F$11)</f>
        <v>14.2112</v>
      </c>
      <c r="E555" s="12">
        <f>14.2165 * CHOOSE( CONTROL!$C$12, $D$11, 100%, $F$11)</f>
        <v>14.2165</v>
      </c>
      <c r="F555" s="4">
        <f>15.2126 * CHOOSE(CONTROL!$C$12, $D$11, 100%, $F$11)</f>
        <v>15.2126</v>
      </c>
      <c r="G555" s="8">
        <f>13.8685 * CHOOSE( CONTROL!$C$12, $D$11, 100%, $F$11)</f>
        <v>13.868499999999999</v>
      </c>
      <c r="H555" s="4">
        <f>14.7526 * CHOOSE(CONTROL!$C$12, $D$11, 100%, $F$11)</f>
        <v>14.752599999999999</v>
      </c>
      <c r="I555" s="8">
        <f>13.7201 * CHOOSE(CONTROL!$C$12, $D$11, 100%, $F$11)</f>
        <v>13.7201</v>
      </c>
      <c r="J555" s="4">
        <f>13.6193 * CHOOSE(CONTROL!$C$12, $D$11, 100%, $F$11)</f>
        <v>13.619300000000001</v>
      </c>
      <c r="K555" s="4"/>
      <c r="L555" s="9">
        <v>26.515499999999999</v>
      </c>
      <c r="M555" s="9">
        <v>11.6745</v>
      </c>
      <c r="N555" s="9">
        <v>4.7850000000000001</v>
      </c>
      <c r="O555" s="9">
        <v>0.36249999999999999</v>
      </c>
      <c r="P555" s="9">
        <v>1.2522</v>
      </c>
      <c r="Q555" s="9">
        <v>19.053000000000001</v>
      </c>
      <c r="R555" s="9"/>
      <c r="S555" s="11"/>
    </row>
    <row r="556" spans="1:19" ht="15.75">
      <c r="A556" s="13">
        <v>58806</v>
      </c>
      <c r="B556" s="8">
        <f>14.1926 * CHOOSE(CONTROL!$C$12, $D$11, 100%, $F$11)</f>
        <v>14.192600000000001</v>
      </c>
      <c r="C556" s="8">
        <f>14.203 * CHOOSE(CONTROL!$C$12, $D$11, 100%, $F$11)</f>
        <v>14.202999999999999</v>
      </c>
      <c r="D556" s="8">
        <f>14.1874 * CHOOSE( CONTROL!$C$12, $D$11, 100%, $F$11)</f>
        <v>14.1874</v>
      </c>
      <c r="E556" s="12">
        <f>14.192 * CHOOSE( CONTROL!$C$12, $D$11, 100%, $F$11)</f>
        <v>14.192</v>
      </c>
      <c r="F556" s="4">
        <f>15.1868 * CHOOSE(CONTROL!$C$12, $D$11, 100%, $F$11)</f>
        <v>15.1868</v>
      </c>
      <c r="G556" s="8">
        <f>13.8448 * CHOOSE( CONTROL!$C$12, $D$11, 100%, $F$11)</f>
        <v>13.844799999999999</v>
      </c>
      <c r="H556" s="4">
        <f>14.7274 * CHOOSE(CONTROL!$C$12, $D$11, 100%, $F$11)</f>
        <v>14.727399999999999</v>
      </c>
      <c r="I556" s="8">
        <f>13.7026 * CHOOSE(CONTROL!$C$12, $D$11, 100%, $F$11)</f>
        <v>13.7026</v>
      </c>
      <c r="J556" s="4">
        <f>13.5945 * CHOOSE(CONTROL!$C$12, $D$11, 100%, $F$11)</f>
        <v>13.5945</v>
      </c>
      <c r="K556" s="4"/>
      <c r="L556" s="9">
        <v>27.3993</v>
      </c>
      <c r="M556" s="9">
        <v>12.063700000000001</v>
      </c>
      <c r="N556" s="9">
        <v>4.9444999999999997</v>
      </c>
      <c r="O556" s="9">
        <v>0.37459999999999999</v>
      </c>
      <c r="P556" s="9">
        <v>1.2939000000000001</v>
      </c>
      <c r="Q556" s="9">
        <v>19.688099999999999</v>
      </c>
      <c r="R556" s="9"/>
      <c r="S556" s="11"/>
    </row>
    <row r="557" spans="1:19" ht="15.75">
      <c r="A557" s="13">
        <v>58837</v>
      </c>
      <c r="B557" s="8">
        <f>14.7348 * CHOOSE(CONTROL!$C$12, $D$11, 100%, $F$11)</f>
        <v>14.7348</v>
      </c>
      <c r="C557" s="8">
        <f>14.7452 * CHOOSE(CONTROL!$C$12, $D$11, 100%, $F$11)</f>
        <v>14.745200000000001</v>
      </c>
      <c r="D557" s="8">
        <f>14.7429 * CHOOSE( CONTROL!$C$12, $D$11, 100%, $F$11)</f>
        <v>14.742900000000001</v>
      </c>
      <c r="E557" s="12">
        <f>14.7426 * CHOOSE( CONTROL!$C$12, $D$11, 100%, $F$11)</f>
        <v>14.742599999999999</v>
      </c>
      <c r="F557" s="4">
        <f>15.7577 * CHOOSE(CONTROL!$C$12, $D$11, 100%, $F$11)</f>
        <v>15.7577</v>
      </c>
      <c r="G557" s="8">
        <f>14.3905 * CHOOSE( CONTROL!$C$12, $D$11, 100%, $F$11)</f>
        <v>14.390499999999999</v>
      </c>
      <c r="H557" s="4">
        <f>15.2839 * CHOOSE(CONTROL!$C$12, $D$11, 100%, $F$11)</f>
        <v>15.283899999999999</v>
      </c>
      <c r="I557" s="8">
        <f>14.2298 * CHOOSE(CONTROL!$C$12, $D$11, 100%, $F$11)</f>
        <v>14.229799999999999</v>
      </c>
      <c r="J557" s="4">
        <f>14.1141 * CHOOSE(CONTROL!$C$12, $D$11, 100%, $F$11)</f>
        <v>14.114100000000001</v>
      </c>
      <c r="K557" s="4"/>
      <c r="L557" s="9">
        <v>27.3993</v>
      </c>
      <c r="M557" s="9">
        <v>12.063700000000001</v>
      </c>
      <c r="N557" s="9">
        <v>4.9444999999999997</v>
      </c>
      <c r="O557" s="9">
        <v>0.37459999999999999</v>
      </c>
      <c r="P557" s="9">
        <v>1.2939000000000001</v>
      </c>
      <c r="Q557" s="9">
        <v>19.688099999999999</v>
      </c>
      <c r="R557" s="9"/>
      <c r="S557" s="11"/>
    </row>
    <row r="558" spans="1:19" ht="15.75">
      <c r="A558" s="13">
        <v>58865</v>
      </c>
      <c r="B558" s="8">
        <f>13.7825 * CHOOSE(CONTROL!$C$12, $D$11, 100%, $F$11)</f>
        <v>13.782500000000001</v>
      </c>
      <c r="C558" s="8">
        <f>13.793 * CHOOSE(CONTROL!$C$12, $D$11, 100%, $F$11)</f>
        <v>13.792999999999999</v>
      </c>
      <c r="D558" s="8">
        <f>13.7929 * CHOOSE( CONTROL!$C$12, $D$11, 100%, $F$11)</f>
        <v>13.792899999999999</v>
      </c>
      <c r="E558" s="12">
        <f>13.7918 * CHOOSE( CONTROL!$C$12, $D$11, 100%, $F$11)</f>
        <v>13.7918</v>
      </c>
      <c r="F558" s="4">
        <f>14.7976 * CHOOSE(CONTROL!$C$12, $D$11, 100%, $F$11)</f>
        <v>14.797599999999999</v>
      </c>
      <c r="G558" s="8">
        <f>13.4622 * CHOOSE( CONTROL!$C$12, $D$11, 100%, $F$11)</f>
        <v>13.462199999999999</v>
      </c>
      <c r="H558" s="4">
        <f>14.348 * CHOOSE(CONTROL!$C$12, $D$11, 100%, $F$11)</f>
        <v>14.348000000000001</v>
      </c>
      <c r="I558" s="8">
        <f>13.3059 * CHOOSE(CONTROL!$C$12, $D$11, 100%, $F$11)</f>
        <v>13.305899999999999</v>
      </c>
      <c r="J558" s="4">
        <f>13.2017 * CHOOSE(CONTROL!$C$12, $D$11, 100%, $F$11)</f>
        <v>13.201700000000001</v>
      </c>
      <c r="K558" s="4"/>
      <c r="L558" s="9">
        <v>24.747800000000002</v>
      </c>
      <c r="M558" s="9">
        <v>10.8962</v>
      </c>
      <c r="N558" s="9">
        <v>4.4660000000000002</v>
      </c>
      <c r="O558" s="9">
        <v>0.33829999999999999</v>
      </c>
      <c r="P558" s="9">
        <v>1.1687000000000001</v>
      </c>
      <c r="Q558" s="9">
        <v>17.782800000000002</v>
      </c>
      <c r="R558" s="9"/>
      <c r="S558" s="11"/>
    </row>
    <row r="559" spans="1:19" ht="15.75">
      <c r="A559" s="13">
        <v>58893</v>
      </c>
      <c r="B559" s="8">
        <f>13.4892 * CHOOSE(CONTROL!$C$12, $D$11, 100%, $F$11)</f>
        <v>13.4892</v>
      </c>
      <c r="C559" s="8">
        <f>13.4997 * CHOOSE(CONTROL!$C$12, $D$11, 100%, $F$11)</f>
        <v>13.499700000000001</v>
      </c>
      <c r="D559" s="8">
        <f>13.4795 * CHOOSE( CONTROL!$C$12, $D$11, 100%, $F$11)</f>
        <v>13.4795</v>
      </c>
      <c r="E559" s="12">
        <f>13.4858 * CHOOSE( CONTROL!$C$12, $D$11, 100%, $F$11)</f>
        <v>13.485799999999999</v>
      </c>
      <c r="F559" s="4">
        <f>14.4881 * CHOOSE(CONTROL!$C$12, $D$11, 100%, $F$11)</f>
        <v>14.488099999999999</v>
      </c>
      <c r="G559" s="8">
        <f>13.1558 * CHOOSE( CONTROL!$C$12, $D$11, 100%, $F$11)</f>
        <v>13.155799999999999</v>
      </c>
      <c r="H559" s="4">
        <f>14.0464 * CHOOSE(CONTROL!$C$12, $D$11, 100%, $F$11)</f>
        <v>14.0464</v>
      </c>
      <c r="I559" s="8">
        <f>12.9852 * CHOOSE(CONTROL!$C$12, $D$11, 100%, $F$11)</f>
        <v>12.985200000000001</v>
      </c>
      <c r="J559" s="4">
        <f>12.9206 * CHOOSE(CONTROL!$C$12, $D$11, 100%, $F$11)</f>
        <v>12.9206</v>
      </c>
      <c r="K559" s="4"/>
      <c r="L559" s="9">
        <v>27.3993</v>
      </c>
      <c r="M559" s="9">
        <v>12.063700000000001</v>
      </c>
      <c r="N559" s="9">
        <v>4.9444999999999997</v>
      </c>
      <c r="O559" s="9">
        <v>0.37459999999999999</v>
      </c>
      <c r="P559" s="9">
        <v>1.2939000000000001</v>
      </c>
      <c r="Q559" s="9">
        <v>19.688099999999999</v>
      </c>
      <c r="R559" s="9"/>
      <c r="S559" s="11"/>
    </row>
    <row r="560" spans="1:19" ht="15.75">
      <c r="A560" s="13">
        <v>58926</v>
      </c>
      <c r="B560" s="8">
        <f>13.6942 * CHOOSE(CONTROL!$C$12, $D$11, 100%, $F$11)</f>
        <v>13.6942</v>
      </c>
      <c r="C560" s="8">
        <f>13.7046 * CHOOSE(CONTROL!$C$12, $D$11, 100%, $F$11)</f>
        <v>13.704599999999999</v>
      </c>
      <c r="D560" s="8">
        <f>13.7078 * CHOOSE( CONTROL!$C$12, $D$11, 100%, $F$11)</f>
        <v>13.707800000000001</v>
      </c>
      <c r="E560" s="12">
        <f>13.7056 * CHOOSE( CONTROL!$C$12, $D$11, 100%, $F$11)</f>
        <v>13.7056</v>
      </c>
      <c r="F560" s="4">
        <f>14.7014 * CHOOSE(CONTROL!$C$12, $D$11, 100%, $F$11)</f>
        <v>14.7014</v>
      </c>
      <c r="G560" s="8">
        <f>13.3434 * CHOOSE( CONTROL!$C$12, $D$11, 100%, $F$11)</f>
        <v>13.343400000000001</v>
      </c>
      <c r="H560" s="4">
        <f>14.2543 * CHOOSE(CONTROL!$C$12, $D$11, 100%, $F$11)</f>
        <v>14.254300000000001</v>
      </c>
      <c r="I560" s="8">
        <f>13.1718 * CHOOSE(CONTROL!$C$12, $D$11, 100%, $F$11)</f>
        <v>13.171799999999999</v>
      </c>
      <c r="J560" s="4">
        <f>13.117 * CHOOSE(CONTROL!$C$12, $D$11, 100%, $F$11)</f>
        <v>13.117000000000001</v>
      </c>
      <c r="K560" s="4"/>
      <c r="L560" s="9">
        <v>27.988800000000001</v>
      </c>
      <c r="M560" s="9">
        <v>11.6745</v>
      </c>
      <c r="N560" s="9">
        <v>4.7850000000000001</v>
      </c>
      <c r="O560" s="9">
        <v>0.36249999999999999</v>
      </c>
      <c r="P560" s="9">
        <v>1.1798</v>
      </c>
      <c r="Q560" s="9">
        <v>19.053000000000001</v>
      </c>
      <c r="R560" s="9"/>
      <c r="S560" s="11"/>
    </row>
    <row r="561" spans="1:19" ht="15.75">
      <c r="A561" s="13">
        <v>58957</v>
      </c>
      <c r="B561" s="8">
        <f>CHOOSE( CONTROL!$C$29, 14.0632, 14.0589) * CHOOSE(CONTROL!$C$12, $D$11, 100%, $F$11)</f>
        <v>14.0632</v>
      </c>
      <c r="C561" s="8">
        <f>CHOOSE( CONTROL!$C$29, 14.0736, 14.0694) * CHOOSE(CONTROL!$C$12, $D$11, 100%, $F$11)</f>
        <v>14.073600000000001</v>
      </c>
      <c r="D561" s="8">
        <f>CHOOSE( CONTROL!$C$29, 14.0515, 14.0473) * CHOOSE( CONTROL!$C$12, $D$11, 100%, $F$11)</f>
        <v>14.051500000000001</v>
      </c>
      <c r="E561" s="12">
        <f>CHOOSE( CONTROL!$C$29, 14.0579, 14.0537) * CHOOSE( CONTROL!$C$12, $D$11, 100%, $F$11)</f>
        <v>14.0579</v>
      </c>
      <c r="F561" s="4">
        <f>CHOOSE( CONTROL!$C$29, 15.0381, 15.0338) * CHOOSE(CONTROL!$C$12, $D$11, 100%, $F$11)</f>
        <v>15.0381</v>
      </c>
      <c r="G561" s="8">
        <f>CHOOSE( CONTROL!$C$29, 13.6844, 13.6802) * CHOOSE( CONTROL!$C$12, $D$11, 100%, $F$11)</f>
        <v>13.6844</v>
      </c>
      <c r="H561" s="4">
        <f>CHOOSE( CONTROL!$C$29, 14.5825, 14.5783) * CHOOSE(CONTROL!$C$12, $D$11, 100%, $F$11)</f>
        <v>14.5825</v>
      </c>
      <c r="I561" s="8">
        <f>CHOOSE( CONTROL!$C$29, 13.504, 13.5) * CHOOSE(CONTROL!$C$12, $D$11, 100%, $F$11)</f>
        <v>13.504</v>
      </c>
      <c r="J561" s="4">
        <f>CHOOSE( CONTROL!$C$29, 13.4706, 13.4665) * CHOOSE(CONTROL!$C$12, $D$11, 100%, $F$11)</f>
        <v>13.470599999999999</v>
      </c>
      <c r="K561" s="4"/>
      <c r="L561" s="9">
        <v>29.520499999999998</v>
      </c>
      <c r="M561" s="9">
        <v>12.063700000000001</v>
      </c>
      <c r="N561" s="9">
        <v>4.9444999999999997</v>
      </c>
      <c r="O561" s="9">
        <v>0.37459999999999999</v>
      </c>
      <c r="P561" s="9">
        <v>1.2192000000000001</v>
      </c>
      <c r="Q561" s="9">
        <v>19.688099999999999</v>
      </c>
      <c r="R561" s="9"/>
      <c r="S561" s="11"/>
    </row>
    <row r="562" spans="1:19" ht="15.75">
      <c r="A562" s="13">
        <v>58987</v>
      </c>
      <c r="B562" s="8">
        <f>CHOOSE( CONTROL!$C$29, 13.8372, 13.833) * CHOOSE(CONTROL!$C$12, $D$11, 100%, $F$11)</f>
        <v>13.837199999999999</v>
      </c>
      <c r="C562" s="8">
        <f>CHOOSE( CONTROL!$C$29, 13.8477, 13.8434) * CHOOSE(CONTROL!$C$12, $D$11, 100%, $F$11)</f>
        <v>13.8477</v>
      </c>
      <c r="D562" s="8">
        <f>CHOOSE( CONTROL!$C$29, 13.82, 13.8158) * CHOOSE( CONTROL!$C$12, $D$11, 100%, $F$11)</f>
        <v>13.82</v>
      </c>
      <c r="E562" s="12">
        <f>CHOOSE( CONTROL!$C$29, 13.8284, 13.8242) * CHOOSE( CONTROL!$C$12, $D$11, 100%, $F$11)</f>
        <v>13.8284</v>
      </c>
      <c r="F562" s="4">
        <f>CHOOSE( CONTROL!$C$29, 14.8017, 14.7975) * CHOOSE(CONTROL!$C$12, $D$11, 100%, $F$11)</f>
        <v>14.8017</v>
      </c>
      <c r="G562" s="8">
        <f>CHOOSE( CONTROL!$C$29, 13.4628, 13.4587) * CHOOSE( CONTROL!$C$12, $D$11, 100%, $F$11)</f>
        <v>13.4628</v>
      </c>
      <c r="H562" s="4">
        <f>CHOOSE( CONTROL!$C$29, 14.352, 14.3479) * CHOOSE(CONTROL!$C$12, $D$11, 100%, $F$11)</f>
        <v>14.352</v>
      </c>
      <c r="I562" s="8">
        <f>CHOOSE( CONTROL!$C$29, 13.2896, 13.2855) * CHOOSE(CONTROL!$C$12, $D$11, 100%, $F$11)</f>
        <v>13.2896</v>
      </c>
      <c r="J562" s="4">
        <f>CHOOSE( CONTROL!$C$29, 13.2541, 13.25) * CHOOSE(CONTROL!$C$12, $D$11, 100%, $F$11)</f>
        <v>13.254099999999999</v>
      </c>
      <c r="K562" s="4"/>
      <c r="L562" s="9">
        <v>28.568200000000001</v>
      </c>
      <c r="M562" s="9">
        <v>11.6745</v>
      </c>
      <c r="N562" s="9">
        <v>4.7850000000000001</v>
      </c>
      <c r="O562" s="9">
        <v>0.36249999999999999</v>
      </c>
      <c r="P562" s="9">
        <v>1.1798</v>
      </c>
      <c r="Q562" s="9">
        <v>19.053000000000001</v>
      </c>
      <c r="R562" s="9"/>
      <c r="S562" s="11"/>
    </row>
    <row r="563" spans="1:19" ht="15.75">
      <c r="A563" s="13">
        <v>59018</v>
      </c>
      <c r="B563" s="8">
        <f>CHOOSE( CONTROL!$C$29, 14.4323, 14.428) * CHOOSE(CONTROL!$C$12, $D$11, 100%, $F$11)</f>
        <v>14.4323</v>
      </c>
      <c r="C563" s="8">
        <f>CHOOSE( CONTROL!$C$29, 14.4427, 14.4385) * CHOOSE(CONTROL!$C$12, $D$11, 100%, $F$11)</f>
        <v>14.4427</v>
      </c>
      <c r="D563" s="8">
        <f>CHOOSE( CONTROL!$C$29, 14.4488, 14.4446) * CHOOSE( CONTROL!$C$12, $D$11, 100%, $F$11)</f>
        <v>14.4488</v>
      </c>
      <c r="E563" s="12">
        <f>CHOOSE( CONTROL!$C$29, 14.445, 14.4408) * CHOOSE( CONTROL!$C$12, $D$11, 100%, $F$11)</f>
        <v>14.445</v>
      </c>
      <c r="F563" s="4">
        <f>CHOOSE( CONTROL!$C$29, 15.4421, 15.4379) * CHOOSE(CONTROL!$C$12, $D$11, 100%, $F$11)</f>
        <v>15.4421</v>
      </c>
      <c r="G563" s="8">
        <f>CHOOSE( CONTROL!$C$29, 14.0689, 14.0648) * CHOOSE( CONTROL!$C$12, $D$11, 100%, $F$11)</f>
        <v>14.068899999999999</v>
      </c>
      <c r="H563" s="4">
        <f>CHOOSE( CONTROL!$C$29, 14.9763, 14.9722) * CHOOSE(CONTROL!$C$12, $D$11, 100%, $F$11)</f>
        <v>14.9763</v>
      </c>
      <c r="I563" s="8">
        <f>CHOOSE( CONTROL!$C$29, 13.9153, 13.9112) * CHOOSE(CONTROL!$C$12, $D$11, 100%, $F$11)</f>
        <v>13.9153</v>
      </c>
      <c r="J563" s="4">
        <f>CHOOSE( CONTROL!$C$29, 13.8242, 13.8202) * CHOOSE(CONTROL!$C$12, $D$11, 100%, $F$11)</f>
        <v>13.824199999999999</v>
      </c>
      <c r="K563" s="4"/>
      <c r="L563" s="9">
        <v>29.520499999999998</v>
      </c>
      <c r="M563" s="9">
        <v>12.063700000000001</v>
      </c>
      <c r="N563" s="9">
        <v>4.9444999999999997</v>
      </c>
      <c r="O563" s="9">
        <v>0.37459999999999999</v>
      </c>
      <c r="P563" s="9">
        <v>1.2192000000000001</v>
      </c>
      <c r="Q563" s="9">
        <v>19.688099999999999</v>
      </c>
      <c r="R563" s="9"/>
      <c r="S563" s="11"/>
    </row>
    <row r="564" spans="1:19" ht="15.75">
      <c r="A564" s="13">
        <v>59049</v>
      </c>
      <c r="B564" s="8">
        <f>CHOOSE( CONTROL!$C$29, 13.3189, 13.3147) * CHOOSE(CONTROL!$C$12, $D$11, 100%, $F$11)</f>
        <v>13.318899999999999</v>
      </c>
      <c r="C564" s="8">
        <f>CHOOSE( CONTROL!$C$29, 13.3293, 13.3251) * CHOOSE(CONTROL!$C$12, $D$11, 100%, $F$11)</f>
        <v>13.3293</v>
      </c>
      <c r="D564" s="8">
        <f>CHOOSE( CONTROL!$C$29, 13.3519, 13.3477) * CHOOSE( CONTROL!$C$12, $D$11, 100%, $F$11)</f>
        <v>13.351900000000001</v>
      </c>
      <c r="E564" s="12">
        <f>CHOOSE( CONTROL!$C$29, 13.3421, 13.3379) * CHOOSE( CONTROL!$C$12, $D$11, 100%, $F$11)</f>
        <v>13.3421</v>
      </c>
      <c r="F564" s="4">
        <f>CHOOSE( CONTROL!$C$29, 14.3575, 14.3532) * CHOOSE(CONTROL!$C$12, $D$11, 100%, $F$11)</f>
        <v>14.3575</v>
      </c>
      <c r="G564" s="8">
        <f>CHOOSE( CONTROL!$C$29, 12.9892, 12.9851) * CHOOSE( CONTROL!$C$12, $D$11, 100%, $F$11)</f>
        <v>12.9892</v>
      </c>
      <c r="H564" s="4">
        <f>CHOOSE( CONTROL!$C$29, 13.919, 13.9149) * CHOOSE(CONTROL!$C$12, $D$11, 100%, $F$11)</f>
        <v>13.919</v>
      </c>
      <c r="I564" s="8">
        <f>CHOOSE( CONTROL!$C$29, 12.8394, 12.8354) * CHOOSE(CONTROL!$C$12, $D$11, 100%, $F$11)</f>
        <v>12.839399999999999</v>
      </c>
      <c r="J564" s="4">
        <f>CHOOSE( CONTROL!$C$29, 12.7574, 12.7534) * CHOOSE(CONTROL!$C$12, $D$11, 100%, $F$11)</f>
        <v>12.757400000000001</v>
      </c>
      <c r="K564" s="4"/>
      <c r="L564" s="9">
        <v>29.520499999999998</v>
      </c>
      <c r="M564" s="9">
        <v>12.063700000000001</v>
      </c>
      <c r="N564" s="9">
        <v>4.9444999999999997</v>
      </c>
      <c r="O564" s="9">
        <v>0.37459999999999999</v>
      </c>
      <c r="P564" s="9">
        <v>1.2192000000000001</v>
      </c>
      <c r="Q564" s="9">
        <v>19.688099999999999</v>
      </c>
      <c r="R564" s="9"/>
      <c r="S564" s="11"/>
    </row>
    <row r="565" spans="1:19" ht="15.75">
      <c r="A565" s="13">
        <v>59079</v>
      </c>
      <c r="B565" s="8">
        <f>CHOOSE( CONTROL!$C$29, 13.0401, 13.0359) * CHOOSE(CONTROL!$C$12, $D$11, 100%, $F$11)</f>
        <v>13.040100000000001</v>
      </c>
      <c r="C565" s="8">
        <f>CHOOSE( CONTROL!$C$29, 13.0505, 13.0463) * CHOOSE(CONTROL!$C$12, $D$11, 100%, $F$11)</f>
        <v>13.0505</v>
      </c>
      <c r="D565" s="8">
        <f>CHOOSE( CONTROL!$C$29, 13.0731, 13.0689) * CHOOSE( CONTROL!$C$12, $D$11, 100%, $F$11)</f>
        <v>13.0731</v>
      </c>
      <c r="E565" s="12">
        <f>CHOOSE( CONTROL!$C$29, 13.0633, 13.0591) * CHOOSE( CONTROL!$C$12, $D$11, 100%, $F$11)</f>
        <v>13.0633</v>
      </c>
      <c r="F565" s="4">
        <f>CHOOSE( CONTROL!$C$29, 14.0787, 14.0744) * CHOOSE(CONTROL!$C$12, $D$11, 100%, $F$11)</f>
        <v>14.0787</v>
      </c>
      <c r="G565" s="8">
        <f>CHOOSE( CONTROL!$C$29, 12.7172, 12.713) * CHOOSE( CONTROL!$C$12, $D$11, 100%, $F$11)</f>
        <v>12.7172</v>
      </c>
      <c r="H565" s="4">
        <f>CHOOSE( CONTROL!$C$29, 13.6472, 13.6431) * CHOOSE(CONTROL!$C$12, $D$11, 100%, $F$11)</f>
        <v>13.6472</v>
      </c>
      <c r="I565" s="8">
        <f>CHOOSE( CONTROL!$C$29, 12.5704, 12.5664) * CHOOSE(CONTROL!$C$12, $D$11, 100%, $F$11)</f>
        <v>12.570399999999999</v>
      </c>
      <c r="J565" s="4">
        <f>CHOOSE( CONTROL!$C$29, 12.4903, 12.4862) * CHOOSE(CONTROL!$C$12, $D$11, 100%, $F$11)</f>
        <v>12.4903</v>
      </c>
      <c r="K565" s="4"/>
      <c r="L565" s="9">
        <v>28.568200000000001</v>
      </c>
      <c r="M565" s="9">
        <v>11.6745</v>
      </c>
      <c r="N565" s="9">
        <v>4.7850000000000001</v>
      </c>
      <c r="O565" s="9">
        <v>0.36249999999999999</v>
      </c>
      <c r="P565" s="9">
        <v>1.1798</v>
      </c>
      <c r="Q565" s="9">
        <v>19.053000000000001</v>
      </c>
      <c r="R565" s="9"/>
      <c r="S565" s="11"/>
    </row>
    <row r="566" spans="1:19" ht="15.75">
      <c r="A566" s="13">
        <v>59110</v>
      </c>
      <c r="B566" s="8">
        <f>13.6147 * CHOOSE(CONTROL!$C$12, $D$11, 100%, $F$11)</f>
        <v>13.614699999999999</v>
      </c>
      <c r="C566" s="8">
        <f>13.6252 * CHOOSE(CONTROL!$C$12, $D$11, 100%, $F$11)</f>
        <v>13.6252</v>
      </c>
      <c r="D566" s="8">
        <f>13.6296 * CHOOSE( CONTROL!$C$12, $D$11, 100%, $F$11)</f>
        <v>13.6296</v>
      </c>
      <c r="E566" s="12">
        <f>13.627 * CHOOSE( CONTROL!$C$12, $D$11, 100%, $F$11)</f>
        <v>13.627000000000001</v>
      </c>
      <c r="F566" s="4">
        <f>14.622 * CHOOSE(CONTROL!$C$12, $D$11, 100%, $F$11)</f>
        <v>14.622</v>
      </c>
      <c r="G566" s="8">
        <f>13.2676 * CHOOSE( CONTROL!$C$12, $D$11, 100%, $F$11)</f>
        <v>13.2676</v>
      </c>
      <c r="H566" s="4">
        <f>14.1769 * CHOOSE(CONTROL!$C$12, $D$11, 100%, $F$11)</f>
        <v>14.1769</v>
      </c>
      <c r="I566" s="8">
        <f>13.118 * CHOOSE(CONTROL!$C$12, $D$11, 100%, $F$11)</f>
        <v>13.118</v>
      </c>
      <c r="J566" s="4">
        <f>13.0409 * CHOOSE(CONTROL!$C$12, $D$11, 100%, $F$11)</f>
        <v>13.040900000000001</v>
      </c>
      <c r="K566" s="4"/>
      <c r="L566" s="9">
        <v>28.921800000000001</v>
      </c>
      <c r="M566" s="9">
        <v>12.063700000000001</v>
      </c>
      <c r="N566" s="9">
        <v>4.9444999999999997</v>
      </c>
      <c r="O566" s="9">
        <v>0.37459999999999999</v>
      </c>
      <c r="P566" s="9">
        <v>1.2192000000000001</v>
      </c>
      <c r="Q566" s="9">
        <v>19.688099999999999</v>
      </c>
      <c r="R566" s="9"/>
      <c r="S566" s="11"/>
    </row>
    <row r="567" spans="1:19" ht="15.75">
      <c r="A567" s="13">
        <v>59140</v>
      </c>
      <c r="B567" s="8">
        <f>14.6832 * CHOOSE(CONTROL!$C$12, $D$11, 100%, $F$11)</f>
        <v>14.683199999999999</v>
      </c>
      <c r="C567" s="8">
        <f>14.6937 * CHOOSE(CONTROL!$C$12, $D$11, 100%, $F$11)</f>
        <v>14.6937</v>
      </c>
      <c r="D567" s="8">
        <f>14.6761 * CHOOSE( CONTROL!$C$12, $D$11, 100%, $F$11)</f>
        <v>14.6761</v>
      </c>
      <c r="E567" s="12">
        <f>14.6814 * CHOOSE( CONTROL!$C$12, $D$11, 100%, $F$11)</f>
        <v>14.6814</v>
      </c>
      <c r="F567" s="4">
        <f>15.6774 * CHOOSE(CONTROL!$C$12, $D$11, 100%, $F$11)</f>
        <v>15.6774</v>
      </c>
      <c r="G567" s="8">
        <f>14.3216 * CHOOSE( CONTROL!$C$12, $D$11, 100%, $F$11)</f>
        <v>14.3216</v>
      </c>
      <c r="H567" s="4">
        <f>15.2057 * CHOOSE(CONTROL!$C$12, $D$11, 100%, $F$11)</f>
        <v>15.2057</v>
      </c>
      <c r="I567" s="8">
        <f>14.1657 * CHOOSE(CONTROL!$C$12, $D$11, 100%, $F$11)</f>
        <v>14.165699999999999</v>
      </c>
      <c r="J567" s="4">
        <f>14.0647 * CHOOSE(CONTROL!$C$12, $D$11, 100%, $F$11)</f>
        <v>14.0647</v>
      </c>
      <c r="K567" s="4"/>
      <c r="L567" s="9">
        <v>26.515499999999999</v>
      </c>
      <c r="M567" s="9">
        <v>11.6745</v>
      </c>
      <c r="N567" s="9">
        <v>4.7850000000000001</v>
      </c>
      <c r="O567" s="9">
        <v>0.36249999999999999</v>
      </c>
      <c r="P567" s="9">
        <v>1.2522</v>
      </c>
      <c r="Q567" s="9">
        <v>19.053000000000001</v>
      </c>
      <c r="R567" s="9"/>
      <c r="S567" s="11"/>
    </row>
    <row r="568" spans="1:19" ht="15.75">
      <c r="A568" s="13">
        <v>59171</v>
      </c>
      <c r="B568" s="8">
        <f>14.6565 * CHOOSE(CONTROL!$C$12, $D$11, 100%, $F$11)</f>
        <v>14.656499999999999</v>
      </c>
      <c r="C568" s="8">
        <f>14.667 * CHOOSE(CONTROL!$C$12, $D$11, 100%, $F$11)</f>
        <v>14.667</v>
      </c>
      <c r="D568" s="8">
        <f>14.6514 * CHOOSE( CONTROL!$C$12, $D$11, 100%, $F$11)</f>
        <v>14.651400000000001</v>
      </c>
      <c r="E568" s="12">
        <f>14.656 * CHOOSE( CONTROL!$C$12, $D$11, 100%, $F$11)</f>
        <v>14.656000000000001</v>
      </c>
      <c r="F568" s="4">
        <f>15.6507 * CHOOSE(CONTROL!$C$12, $D$11, 100%, $F$11)</f>
        <v>15.650700000000001</v>
      </c>
      <c r="G568" s="8">
        <f>14.2971 * CHOOSE( CONTROL!$C$12, $D$11, 100%, $F$11)</f>
        <v>14.2971</v>
      </c>
      <c r="H568" s="4">
        <f>15.1797 * CHOOSE(CONTROL!$C$12, $D$11, 100%, $F$11)</f>
        <v>15.1797</v>
      </c>
      <c r="I568" s="8">
        <f>14.1474 * CHOOSE(CONTROL!$C$12, $D$11, 100%, $F$11)</f>
        <v>14.147399999999999</v>
      </c>
      <c r="J568" s="4">
        <f>14.0391 * CHOOSE(CONTROL!$C$12, $D$11, 100%, $F$11)</f>
        <v>14.039099999999999</v>
      </c>
      <c r="K568" s="4"/>
      <c r="L568" s="9">
        <v>27.3993</v>
      </c>
      <c r="M568" s="9">
        <v>12.063700000000001</v>
      </c>
      <c r="N568" s="9">
        <v>4.9444999999999997</v>
      </c>
      <c r="O568" s="9">
        <v>0.37459999999999999</v>
      </c>
      <c r="P568" s="9">
        <v>1.2939000000000001</v>
      </c>
      <c r="Q568" s="9">
        <v>19.688099999999999</v>
      </c>
      <c r="R568" s="9"/>
      <c r="S568" s="11"/>
    </row>
    <row r="569" spans="1:19" ht="15.75">
      <c r="A569" s="13">
        <v>59202</v>
      </c>
      <c r="B569" s="8">
        <f>15.2165 * CHOOSE(CONTROL!$C$12, $D$11, 100%, $F$11)</f>
        <v>15.2165</v>
      </c>
      <c r="C569" s="8">
        <f>15.2269 * CHOOSE(CONTROL!$C$12, $D$11, 100%, $F$11)</f>
        <v>15.226900000000001</v>
      </c>
      <c r="D569" s="8">
        <f>15.2246 * CHOOSE( CONTROL!$C$12, $D$11, 100%, $F$11)</f>
        <v>15.224600000000001</v>
      </c>
      <c r="E569" s="12">
        <f>15.2243 * CHOOSE( CONTROL!$C$12, $D$11, 100%, $F$11)</f>
        <v>15.224299999999999</v>
      </c>
      <c r="F569" s="4">
        <f>16.2394 * CHOOSE(CONTROL!$C$12, $D$11, 100%, $F$11)</f>
        <v>16.2394</v>
      </c>
      <c r="G569" s="8">
        <f>14.8601 * CHOOSE( CONTROL!$C$12, $D$11, 100%, $F$11)</f>
        <v>14.860099999999999</v>
      </c>
      <c r="H569" s="4">
        <f>15.7535 * CHOOSE(CONTROL!$C$12, $D$11, 100%, $F$11)</f>
        <v>15.753500000000001</v>
      </c>
      <c r="I569" s="8">
        <f>14.6916 * CHOOSE(CONTROL!$C$12, $D$11, 100%, $F$11)</f>
        <v>14.691599999999999</v>
      </c>
      <c r="J569" s="4">
        <f>14.5757 * CHOOSE(CONTROL!$C$12, $D$11, 100%, $F$11)</f>
        <v>14.575699999999999</v>
      </c>
      <c r="K569" s="4"/>
      <c r="L569" s="9">
        <v>27.3993</v>
      </c>
      <c r="M569" s="9">
        <v>12.063700000000001</v>
      </c>
      <c r="N569" s="9">
        <v>4.9444999999999997</v>
      </c>
      <c r="O569" s="9">
        <v>0.37459999999999999</v>
      </c>
      <c r="P569" s="9">
        <v>1.2939000000000001</v>
      </c>
      <c r="Q569" s="9">
        <v>19.688099999999999</v>
      </c>
      <c r="R569" s="9"/>
      <c r="S569" s="11"/>
    </row>
    <row r="570" spans="1:19" ht="15.75">
      <c r="A570" s="13">
        <v>59230</v>
      </c>
      <c r="B570" s="8">
        <f>14.2331 * CHOOSE(CONTROL!$C$12, $D$11, 100%, $F$11)</f>
        <v>14.2331</v>
      </c>
      <c r="C570" s="8">
        <f>14.2435 * CHOOSE(CONTROL!$C$12, $D$11, 100%, $F$11)</f>
        <v>14.243499999999999</v>
      </c>
      <c r="D570" s="8">
        <f>14.2435 * CHOOSE( CONTROL!$C$12, $D$11, 100%, $F$11)</f>
        <v>14.243499999999999</v>
      </c>
      <c r="E570" s="12">
        <f>14.2424 * CHOOSE( CONTROL!$C$12, $D$11, 100%, $F$11)</f>
        <v>14.2424</v>
      </c>
      <c r="F570" s="4">
        <f>15.2482 * CHOOSE(CONTROL!$C$12, $D$11, 100%, $F$11)</f>
        <v>15.248200000000001</v>
      </c>
      <c r="G570" s="8">
        <f>13.9014 * CHOOSE( CONTROL!$C$12, $D$11, 100%, $F$11)</f>
        <v>13.901400000000001</v>
      </c>
      <c r="H570" s="4">
        <f>14.7873 * CHOOSE(CONTROL!$C$12, $D$11, 100%, $F$11)</f>
        <v>14.7873</v>
      </c>
      <c r="I570" s="8">
        <f>13.7379 * CHOOSE(CONTROL!$C$12, $D$11, 100%, $F$11)</f>
        <v>13.7379</v>
      </c>
      <c r="J570" s="4">
        <f>13.6334 * CHOOSE(CONTROL!$C$12, $D$11, 100%, $F$11)</f>
        <v>13.6334</v>
      </c>
      <c r="K570" s="4"/>
      <c r="L570" s="9">
        <v>24.747800000000002</v>
      </c>
      <c r="M570" s="9">
        <v>10.8962</v>
      </c>
      <c r="N570" s="9">
        <v>4.4660000000000002</v>
      </c>
      <c r="O570" s="9">
        <v>0.33829999999999999</v>
      </c>
      <c r="P570" s="9">
        <v>1.1687000000000001</v>
      </c>
      <c r="Q570" s="9">
        <v>17.782800000000002</v>
      </c>
      <c r="R570" s="9"/>
      <c r="S570" s="11"/>
    </row>
    <row r="571" spans="1:19" ht="15.75">
      <c r="A571" s="13">
        <v>59261</v>
      </c>
      <c r="B571" s="8">
        <f>13.9302 * CHOOSE(CONTROL!$C$12, $D$11, 100%, $F$11)</f>
        <v>13.930199999999999</v>
      </c>
      <c r="C571" s="8">
        <f>13.9407 * CHOOSE(CONTROL!$C$12, $D$11, 100%, $F$11)</f>
        <v>13.9407</v>
      </c>
      <c r="D571" s="8">
        <f>13.9205 * CHOOSE( CONTROL!$C$12, $D$11, 100%, $F$11)</f>
        <v>13.920500000000001</v>
      </c>
      <c r="E571" s="12">
        <f>13.9268 * CHOOSE( CONTROL!$C$12, $D$11, 100%, $F$11)</f>
        <v>13.9268</v>
      </c>
      <c r="F571" s="4">
        <f>14.9291 * CHOOSE(CONTROL!$C$12, $D$11, 100%, $F$11)</f>
        <v>14.9291</v>
      </c>
      <c r="G571" s="8">
        <f>13.5856 * CHOOSE( CONTROL!$C$12, $D$11, 100%, $F$11)</f>
        <v>13.585599999999999</v>
      </c>
      <c r="H571" s="4">
        <f>14.4762 * CHOOSE(CONTROL!$C$12, $D$11, 100%, $F$11)</f>
        <v>14.4762</v>
      </c>
      <c r="I571" s="8">
        <f>13.408 * CHOOSE(CONTROL!$C$12, $D$11, 100%, $F$11)</f>
        <v>13.407999999999999</v>
      </c>
      <c r="J571" s="4">
        <f>13.3432 * CHOOSE(CONTROL!$C$12, $D$11, 100%, $F$11)</f>
        <v>13.3432</v>
      </c>
      <c r="K571" s="4"/>
      <c r="L571" s="9">
        <v>27.3993</v>
      </c>
      <c r="M571" s="9">
        <v>12.063700000000001</v>
      </c>
      <c r="N571" s="9">
        <v>4.9444999999999997</v>
      </c>
      <c r="O571" s="9">
        <v>0.37459999999999999</v>
      </c>
      <c r="P571" s="9">
        <v>1.2939000000000001</v>
      </c>
      <c r="Q571" s="9">
        <v>19.688099999999999</v>
      </c>
      <c r="R571" s="9"/>
      <c r="S571" s="11"/>
    </row>
    <row r="572" spans="1:19" ht="15.75">
      <c r="A572" s="13">
        <v>59291</v>
      </c>
      <c r="B572" s="8">
        <f>14.1419 * CHOOSE(CONTROL!$C$12, $D$11, 100%, $F$11)</f>
        <v>14.1419</v>
      </c>
      <c r="C572" s="8">
        <f>14.1523 * CHOOSE(CONTROL!$C$12, $D$11, 100%, $F$11)</f>
        <v>14.1523</v>
      </c>
      <c r="D572" s="8">
        <f>14.1555 * CHOOSE( CONTROL!$C$12, $D$11, 100%, $F$11)</f>
        <v>14.1555</v>
      </c>
      <c r="E572" s="12">
        <f>14.1533 * CHOOSE( CONTROL!$C$12, $D$11, 100%, $F$11)</f>
        <v>14.1533</v>
      </c>
      <c r="F572" s="4">
        <f>15.1491 * CHOOSE(CONTROL!$C$12, $D$11, 100%, $F$11)</f>
        <v>15.149100000000001</v>
      </c>
      <c r="G572" s="8">
        <f>13.7798 * CHOOSE( CONTROL!$C$12, $D$11, 100%, $F$11)</f>
        <v>13.7798</v>
      </c>
      <c r="H572" s="4">
        <f>14.6907 * CHOOSE(CONTROL!$C$12, $D$11, 100%, $F$11)</f>
        <v>14.6907</v>
      </c>
      <c r="I572" s="8">
        <f>13.601 * CHOOSE(CONTROL!$C$12, $D$11, 100%, $F$11)</f>
        <v>13.601000000000001</v>
      </c>
      <c r="J572" s="4">
        <f>13.546 * CHOOSE(CONTROL!$C$12, $D$11, 100%, $F$11)</f>
        <v>13.545999999999999</v>
      </c>
      <c r="K572" s="4"/>
      <c r="L572" s="9">
        <v>27.988800000000001</v>
      </c>
      <c r="M572" s="9">
        <v>11.6745</v>
      </c>
      <c r="N572" s="9">
        <v>4.7850000000000001</v>
      </c>
      <c r="O572" s="9">
        <v>0.36249999999999999</v>
      </c>
      <c r="P572" s="9">
        <v>1.1798</v>
      </c>
      <c r="Q572" s="9">
        <v>19.053000000000001</v>
      </c>
      <c r="R572" s="9"/>
      <c r="S572" s="11"/>
    </row>
    <row r="573" spans="1:19" ht="15.75">
      <c r="A573" s="13">
        <v>59322</v>
      </c>
      <c r="B573" s="8">
        <f>CHOOSE( CONTROL!$C$29, 14.5228, 14.5186) * CHOOSE(CONTROL!$C$12, $D$11, 100%, $F$11)</f>
        <v>14.5228</v>
      </c>
      <c r="C573" s="8">
        <f>CHOOSE( CONTROL!$C$29, 14.5332, 14.529) * CHOOSE(CONTROL!$C$12, $D$11, 100%, $F$11)</f>
        <v>14.533200000000001</v>
      </c>
      <c r="D573" s="8">
        <f>CHOOSE( CONTROL!$C$29, 14.5112, 14.5069) * CHOOSE( CONTROL!$C$12, $D$11, 100%, $F$11)</f>
        <v>14.511200000000001</v>
      </c>
      <c r="E573" s="12">
        <f>CHOOSE( CONTROL!$C$29, 14.5176, 14.5133) * CHOOSE( CONTROL!$C$12, $D$11, 100%, $F$11)</f>
        <v>14.5176</v>
      </c>
      <c r="F573" s="4">
        <f>CHOOSE( CONTROL!$C$29, 15.4977, 15.4935) * CHOOSE(CONTROL!$C$12, $D$11, 100%, $F$11)</f>
        <v>15.4977</v>
      </c>
      <c r="G573" s="8">
        <f>CHOOSE( CONTROL!$C$29, 14.1324, 14.1282) * CHOOSE( CONTROL!$C$12, $D$11, 100%, $F$11)</f>
        <v>14.132400000000001</v>
      </c>
      <c r="H573" s="4">
        <f>CHOOSE( CONTROL!$C$29, 15.0305, 15.0263) * CHOOSE(CONTROL!$C$12, $D$11, 100%, $F$11)</f>
        <v>15.0305</v>
      </c>
      <c r="I573" s="8">
        <f>CHOOSE( CONTROL!$C$29, 13.9447, 13.9406) * CHOOSE(CONTROL!$C$12, $D$11, 100%, $F$11)</f>
        <v>13.944699999999999</v>
      </c>
      <c r="J573" s="4">
        <f>CHOOSE( CONTROL!$C$29, 13.911, 13.9069) * CHOOSE(CONTROL!$C$12, $D$11, 100%, $F$11)</f>
        <v>13.911</v>
      </c>
      <c r="K573" s="4"/>
      <c r="L573" s="9">
        <v>29.520499999999998</v>
      </c>
      <c r="M573" s="9">
        <v>12.063700000000001</v>
      </c>
      <c r="N573" s="9">
        <v>4.9444999999999997</v>
      </c>
      <c r="O573" s="9">
        <v>0.37459999999999999</v>
      </c>
      <c r="P573" s="9">
        <v>1.2192000000000001</v>
      </c>
      <c r="Q573" s="9">
        <v>19.688099999999999</v>
      </c>
      <c r="R573" s="9"/>
      <c r="S573" s="11"/>
    </row>
    <row r="574" spans="1:19" ht="15.75">
      <c r="A574" s="13">
        <v>59352</v>
      </c>
      <c r="B574" s="8">
        <f>CHOOSE( CONTROL!$C$29, 14.2895, 14.2852) * CHOOSE(CONTROL!$C$12, $D$11, 100%, $F$11)</f>
        <v>14.2895</v>
      </c>
      <c r="C574" s="8">
        <f>CHOOSE( CONTROL!$C$29, 14.2999, 14.2957) * CHOOSE(CONTROL!$C$12, $D$11, 100%, $F$11)</f>
        <v>14.299899999999999</v>
      </c>
      <c r="D574" s="8">
        <f>CHOOSE( CONTROL!$C$29, 14.2722, 14.268) * CHOOSE( CONTROL!$C$12, $D$11, 100%, $F$11)</f>
        <v>14.2722</v>
      </c>
      <c r="E574" s="12">
        <f>CHOOSE( CONTROL!$C$29, 14.2807, 14.2764) * CHOOSE( CONTROL!$C$12, $D$11, 100%, $F$11)</f>
        <v>14.2807</v>
      </c>
      <c r="F574" s="4">
        <f>CHOOSE( CONTROL!$C$29, 15.2539, 15.2497) * CHOOSE(CONTROL!$C$12, $D$11, 100%, $F$11)</f>
        <v>15.2539</v>
      </c>
      <c r="G574" s="8">
        <f>CHOOSE( CONTROL!$C$29, 13.9037, 13.8995) * CHOOSE( CONTROL!$C$12, $D$11, 100%, $F$11)</f>
        <v>13.903700000000001</v>
      </c>
      <c r="H574" s="4">
        <f>CHOOSE( CONTROL!$C$29, 14.7928, 14.7887) * CHOOSE(CONTROL!$C$12, $D$11, 100%, $F$11)</f>
        <v>14.7928</v>
      </c>
      <c r="I574" s="8">
        <f>CHOOSE( CONTROL!$C$29, 13.7231, 13.719) * CHOOSE(CONTROL!$C$12, $D$11, 100%, $F$11)</f>
        <v>13.723100000000001</v>
      </c>
      <c r="J574" s="4">
        <f>CHOOSE( CONTROL!$C$29, 13.6874, 13.6833) * CHOOSE(CONTROL!$C$12, $D$11, 100%, $F$11)</f>
        <v>13.6874</v>
      </c>
      <c r="K574" s="4"/>
      <c r="L574" s="9">
        <v>28.568200000000001</v>
      </c>
      <c r="M574" s="9">
        <v>11.6745</v>
      </c>
      <c r="N574" s="9">
        <v>4.7850000000000001</v>
      </c>
      <c r="O574" s="9">
        <v>0.36249999999999999</v>
      </c>
      <c r="P574" s="9">
        <v>1.1798</v>
      </c>
      <c r="Q574" s="9">
        <v>19.053000000000001</v>
      </c>
      <c r="R574" s="9"/>
      <c r="S574" s="11"/>
    </row>
    <row r="575" spans="1:19" ht="15.75">
      <c r="A575" s="13">
        <v>59383</v>
      </c>
      <c r="B575" s="8">
        <f>CHOOSE( CONTROL!$C$29, 14.9039, 14.8997) * CHOOSE(CONTROL!$C$12, $D$11, 100%, $F$11)</f>
        <v>14.9039</v>
      </c>
      <c r="C575" s="8">
        <f>CHOOSE( CONTROL!$C$29, 14.9144, 14.9101) * CHOOSE(CONTROL!$C$12, $D$11, 100%, $F$11)</f>
        <v>14.914400000000001</v>
      </c>
      <c r="D575" s="8">
        <f>CHOOSE( CONTROL!$C$29, 14.9205, 14.9163) * CHOOSE( CONTROL!$C$12, $D$11, 100%, $F$11)</f>
        <v>14.920500000000001</v>
      </c>
      <c r="E575" s="12">
        <f>CHOOSE( CONTROL!$C$29, 14.9167, 14.9125) * CHOOSE( CONTROL!$C$12, $D$11, 100%, $F$11)</f>
        <v>14.916700000000001</v>
      </c>
      <c r="F575" s="4">
        <f>CHOOSE( CONTROL!$C$29, 15.9138, 15.9096) * CHOOSE(CONTROL!$C$12, $D$11, 100%, $F$11)</f>
        <v>15.9138</v>
      </c>
      <c r="G575" s="8">
        <f>CHOOSE( CONTROL!$C$29, 14.5287, 14.5245) * CHOOSE( CONTROL!$C$12, $D$11, 100%, $F$11)</f>
        <v>14.528700000000001</v>
      </c>
      <c r="H575" s="4">
        <f>CHOOSE( CONTROL!$C$29, 15.4361, 15.4319) * CHOOSE(CONTROL!$C$12, $D$11, 100%, $F$11)</f>
        <v>15.4361</v>
      </c>
      <c r="I575" s="8">
        <f>CHOOSE( CONTROL!$C$29, 14.3675, 14.3634) * CHOOSE(CONTROL!$C$12, $D$11, 100%, $F$11)</f>
        <v>14.3675</v>
      </c>
      <c r="J575" s="4">
        <f>CHOOSE( CONTROL!$C$29, 14.2762, 14.2721) * CHOOSE(CONTROL!$C$12, $D$11, 100%, $F$11)</f>
        <v>14.276199999999999</v>
      </c>
      <c r="K575" s="4"/>
      <c r="L575" s="9">
        <v>29.520499999999998</v>
      </c>
      <c r="M575" s="9">
        <v>12.063700000000001</v>
      </c>
      <c r="N575" s="9">
        <v>4.9444999999999997</v>
      </c>
      <c r="O575" s="9">
        <v>0.37459999999999999</v>
      </c>
      <c r="P575" s="9">
        <v>1.2192000000000001</v>
      </c>
      <c r="Q575" s="9">
        <v>19.688099999999999</v>
      </c>
      <c r="R575" s="9"/>
      <c r="S575" s="11"/>
    </row>
    <row r="576" spans="1:19" ht="15.75">
      <c r="A576" s="13">
        <v>59414</v>
      </c>
      <c r="B576" s="8">
        <f>CHOOSE( CONTROL!$C$29, 13.7542, 13.7499) * CHOOSE(CONTROL!$C$12, $D$11, 100%, $F$11)</f>
        <v>13.754200000000001</v>
      </c>
      <c r="C576" s="8">
        <f>CHOOSE( CONTROL!$C$29, 13.7646, 13.7604) * CHOOSE(CONTROL!$C$12, $D$11, 100%, $F$11)</f>
        <v>13.7646</v>
      </c>
      <c r="D576" s="8">
        <f>CHOOSE( CONTROL!$C$29, 13.7872, 13.783) * CHOOSE( CONTROL!$C$12, $D$11, 100%, $F$11)</f>
        <v>13.7872</v>
      </c>
      <c r="E576" s="12">
        <f>CHOOSE( CONTROL!$C$29, 13.7774, 13.7732) * CHOOSE( CONTROL!$C$12, $D$11, 100%, $F$11)</f>
        <v>13.7774</v>
      </c>
      <c r="F576" s="4">
        <f>CHOOSE( CONTROL!$C$29, 14.7927, 14.7885) * CHOOSE(CONTROL!$C$12, $D$11, 100%, $F$11)</f>
        <v>14.7927</v>
      </c>
      <c r="G576" s="8">
        <f>CHOOSE( CONTROL!$C$29, 13.4135, 13.4094) * CHOOSE( CONTROL!$C$12, $D$11, 100%, $F$11)</f>
        <v>13.413500000000001</v>
      </c>
      <c r="H576" s="4">
        <f>CHOOSE( CONTROL!$C$29, 14.3433, 14.3392) * CHOOSE(CONTROL!$C$12, $D$11, 100%, $F$11)</f>
        <v>14.343299999999999</v>
      </c>
      <c r="I576" s="8">
        <f>CHOOSE( CONTROL!$C$29, 13.2567, 13.2526) * CHOOSE(CONTROL!$C$12, $D$11, 100%, $F$11)</f>
        <v>13.2567</v>
      </c>
      <c r="J576" s="4">
        <f>CHOOSE( CONTROL!$C$29, 13.1745, 13.1704) * CHOOSE(CONTROL!$C$12, $D$11, 100%, $F$11)</f>
        <v>13.1745</v>
      </c>
      <c r="K576" s="4"/>
      <c r="L576" s="9">
        <v>29.520499999999998</v>
      </c>
      <c r="M576" s="9">
        <v>12.063700000000001</v>
      </c>
      <c r="N576" s="9">
        <v>4.9444999999999997</v>
      </c>
      <c r="O576" s="9">
        <v>0.37459999999999999</v>
      </c>
      <c r="P576" s="9">
        <v>1.2192000000000001</v>
      </c>
      <c r="Q576" s="9">
        <v>19.688099999999999</v>
      </c>
      <c r="R576" s="9"/>
      <c r="S576" s="11"/>
    </row>
    <row r="577" spans="1:19" ht="15.75">
      <c r="A577" s="13">
        <v>59444</v>
      </c>
      <c r="B577" s="8">
        <f>CHOOSE( CONTROL!$C$29, 13.4663, 13.462) * CHOOSE(CONTROL!$C$12, $D$11, 100%, $F$11)</f>
        <v>13.4663</v>
      </c>
      <c r="C577" s="8">
        <f>CHOOSE( CONTROL!$C$29, 13.4767, 13.4725) * CHOOSE(CONTROL!$C$12, $D$11, 100%, $F$11)</f>
        <v>13.476699999999999</v>
      </c>
      <c r="D577" s="8">
        <f>CHOOSE( CONTROL!$C$29, 13.4993, 13.495) * CHOOSE( CONTROL!$C$12, $D$11, 100%, $F$11)</f>
        <v>13.4993</v>
      </c>
      <c r="E577" s="12">
        <f>CHOOSE( CONTROL!$C$29, 13.4895, 13.4852) * CHOOSE( CONTROL!$C$12, $D$11, 100%, $F$11)</f>
        <v>13.4895</v>
      </c>
      <c r="F577" s="4">
        <f>CHOOSE( CONTROL!$C$29, 14.5048, 14.5006) * CHOOSE(CONTROL!$C$12, $D$11, 100%, $F$11)</f>
        <v>14.504799999999999</v>
      </c>
      <c r="G577" s="8">
        <f>CHOOSE( CONTROL!$C$29, 13.1326, 13.1284) * CHOOSE( CONTROL!$C$12, $D$11, 100%, $F$11)</f>
        <v>13.1326</v>
      </c>
      <c r="H577" s="4">
        <f>CHOOSE( CONTROL!$C$29, 14.0626, 14.0585) * CHOOSE(CONTROL!$C$12, $D$11, 100%, $F$11)</f>
        <v>14.0626</v>
      </c>
      <c r="I577" s="8">
        <f>CHOOSE( CONTROL!$C$29, 12.979, 12.9749) * CHOOSE(CONTROL!$C$12, $D$11, 100%, $F$11)</f>
        <v>12.978999999999999</v>
      </c>
      <c r="J577" s="4">
        <f>CHOOSE( CONTROL!$C$29, 12.8986, 12.8946) * CHOOSE(CONTROL!$C$12, $D$11, 100%, $F$11)</f>
        <v>12.8986</v>
      </c>
      <c r="K577" s="4"/>
      <c r="L577" s="9">
        <v>28.568200000000001</v>
      </c>
      <c r="M577" s="9">
        <v>11.6745</v>
      </c>
      <c r="N577" s="9">
        <v>4.7850000000000001</v>
      </c>
      <c r="O577" s="9">
        <v>0.36249999999999999</v>
      </c>
      <c r="P577" s="9">
        <v>1.1798</v>
      </c>
      <c r="Q577" s="9">
        <v>19.053000000000001</v>
      </c>
      <c r="R577" s="9"/>
      <c r="S577" s="11"/>
    </row>
    <row r="578" spans="1:19" ht="15.75">
      <c r="A578" s="13">
        <v>59475</v>
      </c>
      <c r="B578" s="8">
        <f>14.0598 * CHOOSE(CONTROL!$C$12, $D$11, 100%, $F$11)</f>
        <v>14.059799999999999</v>
      </c>
      <c r="C578" s="8">
        <f>14.0703 * CHOOSE(CONTROL!$C$12, $D$11, 100%, $F$11)</f>
        <v>14.0703</v>
      </c>
      <c r="D578" s="8">
        <f>14.0747 * CHOOSE( CONTROL!$C$12, $D$11, 100%, $F$11)</f>
        <v>14.0747</v>
      </c>
      <c r="E578" s="12">
        <f>14.0721 * CHOOSE( CONTROL!$C$12, $D$11, 100%, $F$11)</f>
        <v>14.072100000000001</v>
      </c>
      <c r="F578" s="4">
        <f>15.0671 * CHOOSE(CONTROL!$C$12, $D$11, 100%, $F$11)</f>
        <v>15.0671</v>
      </c>
      <c r="G578" s="8">
        <f>13.7014 * CHOOSE( CONTROL!$C$12, $D$11, 100%, $F$11)</f>
        <v>13.7014</v>
      </c>
      <c r="H578" s="4">
        <f>14.6107 * CHOOSE(CONTROL!$C$12, $D$11, 100%, $F$11)</f>
        <v>14.6107</v>
      </c>
      <c r="I578" s="8">
        <f>13.5447 * CHOOSE(CONTROL!$C$12, $D$11, 100%, $F$11)</f>
        <v>13.544700000000001</v>
      </c>
      <c r="J578" s="4">
        <f>13.4674 * CHOOSE(CONTROL!$C$12, $D$11, 100%, $F$11)</f>
        <v>13.4674</v>
      </c>
      <c r="K578" s="4"/>
      <c r="L578" s="9">
        <v>28.921800000000001</v>
      </c>
      <c r="M578" s="9">
        <v>12.063700000000001</v>
      </c>
      <c r="N578" s="9">
        <v>4.9444999999999997</v>
      </c>
      <c r="O578" s="9">
        <v>0.37459999999999999</v>
      </c>
      <c r="P578" s="9">
        <v>1.2192000000000001</v>
      </c>
      <c r="Q578" s="9">
        <v>19.688099999999999</v>
      </c>
      <c r="R578" s="9"/>
      <c r="S578" s="11"/>
    </row>
    <row r="579" spans="1:19" ht="15.75">
      <c r="A579" s="13">
        <v>59505</v>
      </c>
      <c r="B579" s="8">
        <f>15.1633 * CHOOSE(CONTROL!$C$12, $D$11, 100%, $F$11)</f>
        <v>15.1633</v>
      </c>
      <c r="C579" s="8">
        <f>15.1737 * CHOOSE(CONTROL!$C$12, $D$11, 100%, $F$11)</f>
        <v>15.1737</v>
      </c>
      <c r="D579" s="8">
        <f>15.1561 * CHOOSE( CONTROL!$C$12, $D$11, 100%, $F$11)</f>
        <v>15.1561</v>
      </c>
      <c r="E579" s="12">
        <f>15.1614 * CHOOSE( CONTROL!$C$12, $D$11, 100%, $F$11)</f>
        <v>15.1614</v>
      </c>
      <c r="F579" s="4">
        <f>16.1575 * CHOOSE(CONTROL!$C$12, $D$11, 100%, $F$11)</f>
        <v>16.157499999999999</v>
      </c>
      <c r="G579" s="8">
        <f>14.7895 * CHOOSE( CONTROL!$C$12, $D$11, 100%, $F$11)</f>
        <v>14.7895</v>
      </c>
      <c r="H579" s="4">
        <f>15.6736 * CHOOSE(CONTROL!$C$12, $D$11, 100%, $F$11)</f>
        <v>15.6736</v>
      </c>
      <c r="I579" s="8">
        <f>14.6259 * CHOOSE(CONTROL!$C$12, $D$11, 100%, $F$11)</f>
        <v>14.6259</v>
      </c>
      <c r="J579" s="4">
        <f>14.5247 * CHOOSE(CONTROL!$C$12, $D$11, 100%, $F$11)</f>
        <v>14.524699999999999</v>
      </c>
      <c r="K579" s="4"/>
      <c r="L579" s="9">
        <v>26.515499999999999</v>
      </c>
      <c r="M579" s="9">
        <v>11.6745</v>
      </c>
      <c r="N579" s="9">
        <v>4.7850000000000001</v>
      </c>
      <c r="O579" s="9">
        <v>0.36249999999999999</v>
      </c>
      <c r="P579" s="9">
        <v>1.2522</v>
      </c>
      <c r="Q579" s="9">
        <v>19.053000000000001</v>
      </c>
      <c r="R579" s="9"/>
      <c r="S579" s="11"/>
    </row>
    <row r="580" spans="1:19" ht="15.75">
      <c r="A580" s="13">
        <v>59536</v>
      </c>
      <c r="B580" s="8">
        <f>15.1357 * CHOOSE(CONTROL!$C$12, $D$11, 100%, $F$11)</f>
        <v>15.1357</v>
      </c>
      <c r="C580" s="8">
        <f>15.1461 * CHOOSE(CONTROL!$C$12, $D$11, 100%, $F$11)</f>
        <v>15.146100000000001</v>
      </c>
      <c r="D580" s="8">
        <f>15.1305 * CHOOSE( CONTROL!$C$12, $D$11, 100%, $F$11)</f>
        <v>15.1305</v>
      </c>
      <c r="E580" s="12">
        <f>15.1351 * CHOOSE( CONTROL!$C$12, $D$11, 100%, $F$11)</f>
        <v>15.1351</v>
      </c>
      <c r="F580" s="4">
        <f>16.1299 * CHOOSE(CONTROL!$C$12, $D$11, 100%, $F$11)</f>
        <v>16.129899999999999</v>
      </c>
      <c r="G580" s="8">
        <f>14.7642 * CHOOSE( CONTROL!$C$12, $D$11, 100%, $F$11)</f>
        <v>14.764200000000001</v>
      </c>
      <c r="H580" s="4">
        <f>15.6467 * CHOOSE(CONTROL!$C$12, $D$11, 100%, $F$11)</f>
        <v>15.646699999999999</v>
      </c>
      <c r="I580" s="8">
        <f>14.6068 * CHOOSE(CONTROL!$C$12, $D$11, 100%, $F$11)</f>
        <v>14.6068</v>
      </c>
      <c r="J580" s="4">
        <f>14.4983 * CHOOSE(CONTROL!$C$12, $D$11, 100%, $F$11)</f>
        <v>14.4983</v>
      </c>
      <c r="K580" s="4"/>
      <c r="L580" s="9">
        <v>27.3993</v>
      </c>
      <c r="M580" s="9">
        <v>12.063700000000001</v>
      </c>
      <c r="N580" s="9">
        <v>4.9444999999999997</v>
      </c>
      <c r="O580" s="9">
        <v>0.37459999999999999</v>
      </c>
      <c r="P580" s="9">
        <v>1.2939000000000001</v>
      </c>
      <c r="Q580" s="9">
        <v>19.688099999999999</v>
      </c>
      <c r="R580" s="9"/>
      <c r="S580" s="11"/>
    </row>
    <row r="581" spans="1:19" ht="15.75">
      <c r="A581" s="13">
        <v>59567</v>
      </c>
      <c r="B581" s="8">
        <f>15.714 * CHOOSE(CONTROL!$C$12, $D$11, 100%, $F$11)</f>
        <v>15.714</v>
      </c>
      <c r="C581" s="8">
        <f>15.7244 * CHOOSE(CONTROL!$C$12, $D$11, 100%, $F$11)</f>
        <v>15.724399999999999</v>
      </c>
      <c r="D581" s="8">
        <f>15.7221 * CHOOSE( CONTROL!$C$12, $D$11, 100%, $F$11)</f>
        <v>15.722099999999999</v>
      </c>
      <c r="E581" s="12">
        <f>15.7218 * CHOOSE( CONTROL!$C$12, $D$11, 100%, $F$11)</f>
        <v>15.7218</v>
      </c>
      <c r="F581" s="4">
        <f>16.7369 * CHOOSE(CONTROL!$C$12, $D$11, 100%, $F$11)</f>
        <v>16.736899999999999</v>
      </c>
      <c r="G581" s="8">
        <f>15.345 * CHOOSE( CONTROL!$C$12, $D$11, 100%, $F$11)</f>
        <v>15.345000000000001</v>
      </c>
      <c r="H581" s="4">
        <f>16.2384 * CHOOSE(CONTROL!$C$12, $D$11, 100%, $F$11)</f>
        <v>16.238399999999999</v>
      </c>
      <c r="I581" s="8">
        <f>15.1685 * CHOOSE(CONTROL!$C$12, $D$11, 100%, $F$11)</f>
        <v>15.1685</v>
      </c>
      <c r="J581" s="4">
        <f>15.0524 * CHOOSE(CONTROL!$C$12, $D$11, 100%, $F$11)</f>
        <v>15.0524</v>
      </c>
      <c r="K581" s="4"/>
      <c r="L581" s="9">
        <v>27.3993</v>
      </c>
      <c r="M581" s="9">
        <v>12.063700000000001</v>
      </c>
      <c r="N581" s="9">
        <v>4.9444999999999997</v>
      </c>
      <c r="O581" s="9">
        <v>0.37459999999999999</v>
      </c>
      <c r="P581" s="9">
        <v>1.2939000000000001</v>
      </c>
      <c r="Q581" s="9">
        <v>19.688099999999999</v>
      </c>
      <c r="R581" s="9"/>
      <c r="S581" s="11"/>
    </row>
    <row r="582" spans="1:19" ht="15.75">
      <c r="A582" s="13">
        <v>59595</v>
      </c>
      <c r="B582" s="8">
        <f>14.6984 * CHOOSE(CONTROL!$C$12, $D$11, 100%, $F$11)</f>
        <v>14.698399999999999</v>
      </c>
      <c r="C582" s="8">
        <f>14.7089 * CHOOSE(CONTROL!$C$12, $D$11, 100%, $F$11)</f>
        <v>14.7089</v>
      </c>
      <c r="D582" s="8">
        <f>14.7088 * CHOOSE( CONTROL!$C$12, $D$11, 100%, $F$11)</f>
        <v>14.7088</v>
      </c>
      <c r="E582" s="12">
        <f>14.7077 * CHOOSE( CONTROL!$C$12, $D$11, 100%, $F$11)</f>
        <v>14.707700000000001</v>
      </c>
      <c r="F582" s="4">
        <f>15.7135 * CHOOSE(CONTROL!$C$12, $D$11, 100%, $F$11)</f>
        <v>15.7135</v>
      </c>
      <c r="G582" s="8">
        <f>14.3549 * CHOOSE( CONTROL!$C$12, $D$11, 100%, $F$11)</f>
        <v>14.354900000000001</v>
      </c>
      <c r="H582" s="4">
        <f>15.2408 * CHOOSE(CONTROL!$C$12, $D$11, 100%, $F$11)</f>
        <v>15.2408</v>
      </c>
      <c r="I582" s="8">
        <f>14.184 * CHOOSE(CONTROL!$C$12, $D$11, 100%, $F$11)</f>
        <v>14.183999999999999</v>
      </c>
      <c r="J582" s="4">
        <f>14.0793 * CHOOSE(CONTROL!$C$12, $D$11, 100%, $F$11)</f>
        <v>14.0793</v>
      </c>
      <c r="K582" s="4"/>
      <c r="L582" s="9">
        <v>24.747800000000002</v>
      </c>
      <c r="M582" s="9">
        <v>10.8962</v>
      </c>
      <c r="N582" s="9">
        <v>4.4660000000000002</v>
      </c>
      <c r="O582" s="9">
        <v>0.33829999999999999</v>
      </c>
      <c r="P582" s="9">
        <v>1.1687000000000001</v>
      </c>
      <c r="Q582" s="9">
        <v>17.782800000000002</v>
      </c>
      <c r="R582" s="9"/>
      <c r="S582" s="11"/>
    </row>
    <row r="583" spans="1:19" ht="15.75">
      <c r="A583" s="13">
        <v>59626</v>
      </c>
      <c r="B583" s="8">
        <f>14.3856 * CHOOSE(CONTROL!$C$12, $D$11, 100%, $F$11)</f>
        <v>14.3856</v>
      </c>
      <c r="C583" s="8">
        <f>14.3961 * CHOOSE(CONTROL!$C$12, $D$11, 100%, $F$11)</f>
        <v>14.396100000000001</v>
      </c>
      <c r="D583" s="8">
        <f>14.3759 * CHOOSE( CONTROL!$C$12, $D$11, 100%, $F$11)</f>
        <v>14.3759</v>
      </c>
      <c r="E583" s="12">
        <f>14.3822 * CHOOSE( CONTROL!$C$12, $D$11, 100%, $F$11)</f>
        <v>14.382199999999999</v>
      </c>
      <c r="F583" s="4">
        <f>15.3845 * CHOOSE(CONTROL!$C$12, $D$11, 100%, $F$11)</f>
        <v>15.384499999999999</v>
      </c>
      <c r="G583" s="8">
        <f>14.0296 * CHOOSE( CONTROL!$C$12, $D$11, 100%, $F$11)</f>
        <v>14.0296</v>
      </c>
      <c r="H583" s="4">
        <f>14.9202 * CHOOSE(CONTROL!$C$12, $D$11, 100%, $F$11)</f>
        <v>14.920199999999999</v>
      </c>
      <c r="I583" s="8">
        <f>13.8446 * CHOOSE(CONTROL!$C$12, $D$11, 100%, $F$11)</f>
        <v>13.8446</v>
      </c>
      <c r="J583" s="4">
        <f>13.7796 * CHOOSE(CONTROL!$C$12, $D$11, 100%, $F$11)</f>
        <v>13.7796</v>
      </c>
      <c r="K583" s="4"/>
      <c r="L583" s="9">
        <v>27.3993</v>
      </c>
      <c r="M583" s="9">
        <v>12.063700000000001</v>
      </c>
      <c r="N583" s="9">
        <v>4.9444999999999997</v>
      </c>
      <c r="O583" s="9">
        <v>0.37459999999999999</v>
      </c>
      <c r="P583" s="9">
        <v>1.2939000000000001</v>
      </c>
      <c r="Q583" s="9">
        <v>19.688099999999999</v>
      </c>
      <c r="R583" s="9"/>
      <c r="S583" s="11"/>
    </row>
    <row r="584" spans="1:19" ht="15.75">
      <c r="A584" s="13">
        <v>59656</v>
      </c>
      <c r="B584" s="8">
        <f>14.6042 * CHOOSE(CONTROL!$C$12, $D$11, 100%, $F$11)</f>
        <v>14.604200000000001</v>
      </c>
      <c r="C584" s="8">
        <f>14.6146 * CHOOSE(CONTROL!$C$12, $D$11, 100%, $F$11)</f>
        <v>14.614599999999999</v>
      </c>
      <c r="D584" s="8">
        <f>14.6178 * CHOOSE( CONTROL!$C$12, $D$11, 100%, $F$11)</f>
        <v>14.617800000000001</v>
      </c>
      <c r="E584" s="12">
        <f>14.6156 * CHOOSE( CONTROL!$C$12, $D$11, 100%, $F$11)</f>
        <v>14.615600000000001</v>
      </c>
      <c r="F584" s="4">
        <f>15.6115 * CHOOSE(CONTROL!$C$12, $D$11, 100%, $F$11)</f>
        <v>15.611499999999999</v>
      </c>
      <c r="G584" s="8">
        <f>14.2305 * CHOOSE( CONTROL!$C$12, $D$11, 100%, $F$11)</f>
        <v>14.230499999999999</v>
      </c>
      <c r="H584" s="4">
        <f>15.1414 * CHOOSE(CONTROL!$C$12, $D$11, 100%, $F$11)</f>
        <v>15.141400000000001</v>
      </c>
      <c r="I584" s="8">
        <f>14.0442 * CHOOSE(CONTROL!$C$12, $D$11, 100%, $F$11)</f>
        <v>14.0442</v>
      </c>
      <c r="J584" s="4">
        <f>13.989 * CHOOSE(CONTROL!$C$12, $D$11, 100%, $F$11)</f>
        <v>13.989000000000001</v>
      </c>
      <c r="K584" s="4"/>
      <c r="L584" s="9">
        <v>27.988800000000001</v>
      </c>
      <c r="M584" s="9">
        <v>11.6745</v>
      </c>
      <c r="N584" s="9">
        <v>4.7850000000000001</v>
      </c>
      <c r="O584" s="9">
        <v>0.36249999999999999</v>
      </c>
      <c r="P584" s="9">
        <v>1.1798</v>
      </c>
      <c r="Q584" s="9">
        <v>19.053000000000001</v>
      </c>
      <c r="R584" s="9"/>
      <c r="S584" s="11"/>
    </row>
    <row r="585" spans="1:19" ht="15.75">
      <c r="A585" s="13">
        <v>59687</v>
      </c>
      <c r="B585" s="8">
        <f>CHOOSE( CONTROL!$C$29, 14.9975, 14.9932) * CHOOSE(CONTROL!$C$12, $D$11, 100%, $F$11)</f>
        <v>14.9975</v>
      </c>
      <c r="C585" s="8">
        <f>CHOOSE( CONTROL!$C$29, 15.0079, 15.0036) * CHOOSE(CONTROL!$C$12, $D$11, 100%, $F$11)</f>
        <v>15.007899999999999</v>
      </c>
      <c r="D585" s="8">
        <f>CHOOSE( CONTROL!$C$29, 14.9858, 14.9816) * CHOOSE( CONTROL!$C$12, $D$11, 100%, $F$11)</f>
        <v>14.985799999999999</v>
      </c>
      <c r="E585" s="12">
        <f>CHOOSE( CONTROL!$C$29, 14.9922, 14.988) * CHOOSE( CONTROL!$C$12, $D$11, 100%, $F$11)</f>
        <v>14.9922</v>
      </c>
      <c r="F585" s="4">
        <f>CHOOSE( CONTROL!$C$29, 15.9724, 15.9681) * CHOOSE(CONTROL!$C$12, $D$11, 100%, $F$11)</f>
        <v>15.9724</v>
      </c>
      <c r="G585" s="8">
        <f>CHOOSE( CONTROL!$C$29, 14.595, 14.5909) * CHOOSE( CONTROL!$C$12, $D$11, 100%, $F$11)</f>
        <v>14.595000000000001</v>
      </c>
      <c r="H585" s="4">
        <f>CHOOSE( CONTROL!$C$29, 15.4931, 15.489) * CHOOSE(CONTROL!$C$12, $D$11, 100%, $F$11)</f>
        <v>15.4931</v>
      </c>
      <c r="I585" s="8">
        <f>CHOOSE( CONTROL!$C$29, 14.3997, 14.3956) * CHOOSE(CONTROL!$C$12, $D$11, 100%, $F$11)</f>
        <v>14.399699999999999</v>
      </c>
      <c r="J585" s="4">
        <f>CHOOSE( CONTROL!$C$29, 14.3658, 14.3617) * CHOOSE(CONTROL!$C$12, $D$11, 100%, $F$11)</f>
        <v>14.3658</v>
      </c>
      <c r="K585" s="4"/>
      <c r="L585" s="9">
        <v>29.520499999999998</v>
      </c>
      <c r="M585" s="9">
        <v>12.063700000000001</v>
      </c>
      <c r="N585" s="9">
        <v>4.9444999999999997</v>
      </c>
      <c r="O585" s="9">
        <v>0.37459999999999999</v>
      </c>
      <c r="P585" s="9">
        <v>1.2192000000000001</v>
      </c>
      <c r="Q585" s="9">
        <v>19.688099999999999</v>
      </c>
      <c r="R585" s="9"/>
      <c r="S585" s="11"/>
    </row>
    <row r="586" spans="1:19" ht="15.75">
      <c r="A586" s="13">
        <v>59717</v>
      </c>
      <c r="B586" s="8">
        <f>CHOOSE( CONTROL!$C$29, 14.7565, 14.7522) * CHOOSE(CONTROL!$C$12, $D$11, 100%, $F$11)</f>
        <v>14.756500000000001</v>
      </c>
      <c r="C586" s="8">
        <f>CHOOSE( CONTROL!$C$29, 14.7669, 14.7627) * CHOOSE(CONTROL!$C$12, $D$11, 100%, $F$11)</f>
        <v>14.7669</v>
      </c>
      <c r="D586" s="8">
        <f>CHOOSE( CONTROL!$C$29, 14.7392, 14.735) * CHOOSE( CONTROL!$C$12, $D$11, 100%, $F$11)</f>
        <v>14.7392</v>
      </c>
      <c r="E586" s="12">
        <f>CHOOSE( CONTROL!$C$29, 14.7477, 14.7434) * CHOOSE( CONTROL!$C$12, $D$11, 100%, $F$11)</f>
        <v>14.7477</v>
      </c>
      <c r="F586" s="4">
        <f>CHOOSE( CONTROL!$C$29, 15.7209, 15.7167) * CHOOSE(CONTROL!$C$12, $D$11, 100%, $F$11)</f>
        <v>15.7209</v>
      </c>
      <c r="G586" s="8">
        <f>CHOOSE( CONTROL!$C$29, 14.3589, 14.3548) * CHOOSE( CONTROL!$C$12, $D$11, 100%, $F$11)</f>
        <v>14.3589</v>
      </c>
      <c r="H586" s="4">
        <f>CHOOSE( CONTROL!$C$29, 15.2481, 15.2439) * CHOOSE(CONTROL!$C$12, $D$11, 100%, $F$11)</f>
        <v>15.248100000000001</v>
      </c>
      <c r="I586" s="8">
        <f>CHOOSE( CONTROL!$C$29, 14.1708, 14.1668) * CHOOSE(CONTROL!$C$12, $D$11, 100%, $F$11)</f>
        <v>14.1708</v>
      </c>
      <c r="J586" s="4">
        <f>CHOOSE( CONTROL!$C$29, 14.1349, 14.1308) * CHOOSE(CONTROL!$C$12, $D$11, 100%, $F$11)</f>
        <v>14.1349</v>
      </c>
      <c r="K586" s="4"/>
      <c r="L586" s="9">
        <v>28.568200000000001</v>
      </c>
      <c r="M586" s="9">
        <v>11.6745</v>
      </c>
      <c r="N586" s="9">
        <v>4.7850000000000001</v>
      </c>
      <c r="O586" s="9">
        <v>0.36249999999999999</v>
      </c>
      <c r="P586" s="9">
        <v>1.1798</v>
      </c>
      <c r="Q586" s="9">
        <v>19.053000000000001</v>
      </c>
      <c r="R586" s="9"/>
      <c r="S586" s="11"/>
    </row>
    <row r="587" spans="1:19" ht="15.75">
      <c r="A587" s="13">
        <v>59748</v>
      </c>
      <c r="B587" s="8">
        <f>CHOOSE( CONTROL!$C$29, 15.3911, 15.3868) * CHOOSE(CONTROL!$C$12, $D$11, 100%, $F$11)</f>
        <v>15.3911</v>
      </c>
      <c r="C587" s="8">
        <f>CHOOSE( CONTROL!$C$29, 15.4015, 15.3973) * CHOOSE(CONTROL!$C$12, $D$11, 100%, $F$11)</f>
        <v>15.4015</v>
      </c>
      <c r="D587" s="8">
        <f>CHOOSE( CONTROL!$C$29, 15.4076, 15.4034) * CHOOSE( CONTROL!$C$12, $D$11, 100%, $F$11)</f>
        <v>15.4076</v>
      </c>
      <c r="E587" s="12">
        <f>CHOOSE( CONTROL!$C$29, 15.4038, 15.3996) * CHOOSE( CONTROL!$C$12, $D$11, 100%, $F$11)</f>
        <v>15.4038</v>
      </c>
      <c r="F587" s="4">
        <f>CHOOSE( CONTROL!$C$29, 16.4009, 16.3967) * CHOOSE(CONTROL!$C$12, $D$11, 100%, $F$11)</f>
        <v>16.4009</v>
      </c>
      <c r="G587" s="8">
        <f>CHOOSE( CONTROL!$C$29, 15.0035, 14.9994) * CHOOSE( CONTROL!$C$12, $D$11, 100%, $F$11)</f>
        <v>15.003500000000001</v>
      </c>
      <c r="H587" s="4">
        <f>CHOOSE( CONTROL!$C$29, 15.9109, 15.9068) * CHOOSE(CONTROL!$C$12, $D$11, 100%, $F$11)</f>
        <v>15.9109</v>
      </c>
      <c r="I587" s="8">
        <f>CHOOSE( CONTROL!$C$29, 14.8345, 14.8304) * CHOOSE(CONTROL!$C$12, $D$11, 100%, $F$11)</f>
        <v>14.8345</v>
      </c>
      <c r="J587" s="4">
        <f>CHOOSE( CONTROL!$C$29, 14.743, 14.7389) * CHOOSE(CONTROL!$C$12, $D$11, 100%, $F$11)</f>
        <v>14.743</v>
      </c>
      <c r="K587" s="4"/>
      <c r="L587" s="9">
        <v>29.520499999999998</v>
      </c>
      <c r="M587" s="9">
        <v>12.063700000000001</v>
      </c>
      <c r="N587" s="9">
        <v>4.9444999999999997</v>
      </c>
      <c r="O587" s="9">
        <v>0.37459999999999999</v>
      </c>
      <c r="P587" s="9">
        <v>1.2192000000000001</v>
      </c>
      <c r="Q587" s="9">
        <v>19.688099999999999</v>
      </c>
      <c r="R587" s="9"/>
      <c r="S587" s="11"/>
    </row>
    <row r="588" spans="1:19" ht="15.75">
      <c r="A588" s="13">
        <v>59779</v>
      </c>
      <c r="B588" s="8">
        <f>CHOOSE( CONTROL!$C$29, 14.2037, 14.1994) * CHOOSE(CONTROL!$C$12, $D$11, 100%, $F$11)</f>
        <v>14.2037</v>
      </c>
      <c r="C588" s="8">
        <f>CHOOSE( CONTROL!$C$29, 14.2141, 14.2099) * CHOOSE(CONTROL!$C$12, $D$11, 100%, $F$11)</f>
        <v>14.2141</v>
      </c>
      <c r="D588" s="8">
        <f>CHOOSE( CONTROL!$C$29, 14.2367, 14.2325) * CHOOSE( CONTROL!$C$12, $D$11, 100%, $F$11)</f>
        <v>14.236700000000001</v>
      </c>
      <c r="E588" s="12">
        <f>CHOOSE( CONTROL!$C$29, 14.2269, 14.2227) * CHOOSE( CONTROL!$C$12, $D$11, 100%, $F$11)</f>
        <v>14.226900000000001</v>
      </c>
      <c r="F588" s="4">
        <f>CHOOSE( CONTROL!$C$29, 15.2423, 15.238) * CHOOSE(CONTROL!$C$12, $D$11, 100%, $F$11)</f>
        <v>15.2423</v>
      </c>
      <c r="G588" s="8">
        <f>CHOOSE( CONTROL!$C$29, 13.8517, 13.8476) * CHOOSE( CONTROL!$C$12, $D$11, 100%, $F$11)</f>
        <v>13.851699999999999</v>
      </c>
      <c r="H588" s="4">
        <f>CHOOSE( CONTROL!$C$29, 14.7815, 14.7773) * CHOOSE(CONTROL!$C$12, $D$11, 100%, $F$11)</f>
        <v>14.781499999999999</v>
      </c>
      <c r="I588" s="8">
        <f>CHOOSE( CONTROL!$C$29, 13.6876, 13.6836) * CHOOSE(CONTROL!$C$12, $D$11, 100%, $F$11)</f>
        <v>13.6876</v>
      </c>
      <c r="J588" s="4">
        <f>CHOOSE( CONTROL!$C$29, 13.6052, 13.6012) * CHOOSE(CONTROL!$C$12, $D$11, 100%, $F$11)</f>
        <v>13.6052</v>
      </c>
      <c r="K588" s="4"/>
      <c r="L588" s="9">
        <v>29.520499999999998</v>
      </c>
      <c r="M588" s="9">
        <v>12.063700000000001</v>
      </c>
      <c r="N588" s="9">
        <v>4.9444999999999997</v>
      </c>
      <c r="O588" s="9">
        <v>0.37459999999999999</v>
      </c>
      <c r="P588" s="9">
        <v>1.2192000000000001</v>
      </c>
      <c r="Q588" s="9">
        <v>19.688099999999999</v>
      </c>
      <c r="R588" s="9"/>
      <c r="S588" s="11"/>
    </row>
    <row r="589" spans="1:19" ht="15.75">
      <c r="A589" s="13">
        <v>59809</v>
      </c>
      <c r="B589" s="8">
        <f>CHOOSE( CONTROL!$C$29, 13.9064, 13.9021) * CHOOSE(CONTROL!$C$12, $D$11, 100%, $F$11)</f>
        <v>13.9064</v>
      </c>
      <c r="C589" s="8">
        <f>CHOOSE( CONTROL!$C$29, 13.9168, 13.9126) * CHOOSE(CONTROL!$C$12, $D$11, 100%, $F$11)</f>
        <v>13.9168</v>
      </c>
      <c r="D589" s="8">
        <f>CHOOSE( CONTROL!$C$29, 13.9394, 13.9351) * CHOOSE( CONTROL!$C$12, $D$11, 100%, $F$11)</f>
        <v>13.939399999999999</v>
      </c>
      <c r="E589" s="12">
        <f>CHOOSE( CONTROL!$C$29, 13.9296, 13.9253) * CHOOSE( CONTROL!$C$12, $D$11, 100%, $F$11)</f>
        <v>13.929600000000001</v>
      </c>
      <c r="F589" s="4">
        <f>CHOOSE( CONTROL!$C$29, 14.9449, 14.9407) * CHOOSE(CONTROL!$C$12, $D$11, 100%, $F$11)</f>
        <v>14.944900000000001</v>
      </c>
      <c r="G589" s="8">
        <f>CHOOSE( CONTROL!$C$29, 13.5616, 13.5574) * CHOOSE( CONTROL!$C$12, $D$11, 100%, $F$11)</f>
        <v>13.5616</v>
      </c>
      <c r="H589" s="4">
        <f>CHOOSE( CONTROL!$C$29, 14.4916, 14.4875) * CHOOSE(CONTROL!$C$12, $D$11, 100%, $F$11)</f>
        <v>14.4916</v>
      </c>
      <c r="I589" s="8">
        <f>CHOOSE( CONTROL!$C$29, 13.4009, 13.3968) * CHOOSE(CONTROL!$C$12, $D$11, 100%, $F$11)</f>
        <v>13.4009</v>
      </c>
      <c r="J589" s="4">
        <f>CHOOSE( CONTROL!$C$29, 13.3203, 13.3163) * CHOOSE(CONTROL!$C$12, $D$11, 100%, $F$11)</f>
        <v>13.3203</v>
      </c>
      <c r="K589" s="4"/>
      <c r="L589" s="9">
        <v>28.568200000000001</v>
      </c>
      <c r="M589" s="9">
        <v>11.6745</v>
      </c>
      <c r="N589" s="9">
        <v>4.7850000000000001</v>
      </c>
      <c r="O589" s="9">
        <v>0.36249999999999999</v>
      </c>
      <c r="P589" s="9">
        <v>1.1798</v>
      </c>
      <c r="Q589" s="9">
        <v>19.053000000000001</v>
      </c>
      <c r="R589" s="9"/>
      <c r="S589" s="11"/>
    </row>
    <row r="590" spans="1:19" ht="15.75">
      <c r="A590" s="13">
        <v>59840</v>
      </c>
      <c r="B590" s="8">
        <f>14.5195 * CHOOSE(CONTROL!$C$12, $D$11, 100%, $F$11)</f>
        <v>14.519500000000001</v>
      </c>
      <c r="C590" s="8">
        <f>14.5299 * CHOOSE(CONTROL!$C$12, $D$11, 100%, $F$11)</f>
        <v>14.5299</v>
      </c>
      <c r="D590" s="8">
        <f>14.5343 * CHOOSE( CONTROL!$C$12, $D$11, 100%, $F$11)</f>
        <v>14.5343</v>
      </c>
      <c r="E590" s="12">
        <f>14.5317 * CHOOSE( CONTROL!$C$12, $D$11, 100%, $F$11)</f>
        <v>14.531700000000001</v>
      </c>
      <c r="F590" s="4">
        <f>15.5267 * CHOOSE(CONTROL!$C$12, $D$11, 100%, $F$11)</f>
        <v>15.5267</v>
      </c>
      <c r="G590" s="8">
        <f>14.1495 * CHOOSE( CONTROL!$C$12, $D$11, 100%, $F$11)</f>
        <v>14.1495</v>
      </c>
      <c r="H590" s="4">
        <f>15.0588 * CHOOSE(CONTROL!$C$12, $D$11, 100%, $F$11)</f>
        <v>15.0588</v>
      </c>
      <c r="I590" s="8">
        <f>13.9853 * CHOOSE(CONTROL!$C$12, $D$11, 100%, $F$11)</f>
        <v>13.985300000000001</v>
      </c>
      <c r="J590" s="4">
        <f>13.9078 * CHOOSE(CONTROL!$C$12, $D$11, 100%, $F$11)</f>
        <v>13.9078</v>
      </c>
      <c r="K590" s="4"/>
      <c r="L590" s="9">
        <v>28.921800000000001</v>
      </c>
      <c r="M590" s="9">
        <v>12.063700000000001</v>
      </c>
      <c r="N590" s="9">
        <v>4.9444999999999997</v>
      </c>
      <c r="O590" s="9">
        <v>0.37459999999999999</v>
      </c>
      <c r="P590" s="9">
        <v>1.2192000000000001</v>
      </c>
      <c r="Q590" s="9">
        <v>19.688099999999999</v>
      </c>
      <c r="R590" s="9"/>
      <c r="S590" s="11"/>
    </row>
    <row r="591" spans="1:19" ht="15.75">
      <c r="A591" s="13">
        <v>59870</v>
      </c>
      <c r="B591" s="8">
        <f>15.659 * CHOOSE(CONTROL!$C$12, $D$11, 100%, $F$11)</f>
        <v>15.659000000000001</v>
      </c>
      <c r="C591" s="8">
        <f>15.6694 * CHOOSE(CONTROL!$C$12, $D$11, 100%, $F$11)</f>
        <v>15.6694</v>
      </c>
      <c r="D591" s="8">
        <f>15.6518 * CHOOSE( CONTROL!$C$12, $D$11, 100%, $F$11)</f>
        <v>15.6518</v>
      </c>
      <c r="E591" s="12">
        <f>15.6571 * CHOOSE( CONTROL!$C$12, $D$11, 100%, $F$11)</f>
        <v>15.6571</v>
      </c>
      <c r="F591" s="4">
        <f>16.6532 * CHOOSE(CONTROL!$C$12, $D$11, 100%, $F$11)</f>
        <v>16.653199999999998</v>
      </c>
      <c r="G591" s="8">
        <f>15.2727 * CHOOSE( CONTROL!$C$12, $D$11, 100%, $F$11)</f>
        <v>15.2727</v>
      </c>
      <c r="H591" s="4">
        <f>16.1568 * CHOOSE(CONTROL!$C$12, $D$11, 100%, $F$11)</f>
        <v>16.1568</v>
      </c>
      <c r="I591" s="8">
        <f>15.1012 * CHOOSE(CONTROL!$C$12, $D$11, 100%, $F$11)</f>
        <v>15.1012</v>
      </c>
      <c r="J591" s="4">
        <f>14.9997 * CHOOSE(CONTROL!$C$12, $D$11, 100%, $F$11)</f>
        <v>14.999700000000001</v>
      </c>
      <c r="K591" s="4"/>
      <c r="L591" s="9">
        <v>26.515499999999999</v>
      </c>
      <c r="M591" s="9">
        <v>11.6745</v>
      </c>
      <c r="N591" s="9">
        <v>4.7850000000000001</v>
      </c>
      <c r="O591" s="9">
        <v>0.36249999999999999</v>
      </c>
      <c r="P591" s="9">
        <v>1.2522</v>
      </c>
      <c r="Q591" s="9">
        <v>19.053000000000001</v>
      </c>
      <c r="R591" s="9"/>
      <c r="S591" s="11"/>
    </row>
    <row r="592" spans="1:19" ht="15.75">
      <c r="A592" s="13">
        <v>59901</v>
      </c>
      <c r="B592" s="8">
        <f>15.6305 * CHOOSE(CONTROL!$C$12, $D$11, 100%, $F$11)</f>
        <v>15.6305</v>
      </c>
      <c r="C592" s="8">
        <f>15.641 * CHOOSE(CONTROL!$C$12, $D$11, 100%, $F$11)</f>
        <v>15.641</v>
      </c>
      <c r="D592" s="8">
        <f>15.6254 * CHOOSE( CONTROL!$C$12, $D$11, 100%, $F$11)</f>
        <v>15.625400000000001</v>
      </c>
      <c r="E592" s="12">
        <f>15.63 * CHOOSE( CONTROL!$C$12, $D$11, 100%, $F$11)</f>
        <v>15.63</v>
      </c>
      <c r="F592" s="4">
        <f>16.6247 * CHOOSE(CONTROL!$C$12, $D$11, 100%, $F$11)</f>
        <v>16.624700000000001</v>
      </c>
      <c r="G592" s="8">
        <f>15.2465 * CHOOSE( CONTROL!$C$12, $D$11, 100%, $F$11)</f>
        <v>15.246499999999999</v>
      </c>
      <c r="H592" s="4">
        <f>16.1291 * CHOOSE(CONTROL!$C$12, $D$11, 100%, $F$11)</f>
        <v>16.129100000000001</v>
      </c>
      <c r="I592" s="8">
        <f>15.0811 * CHOOSE(CONTROL!$C$12, $D$11, 100%, $F$11)</f>
        <v>15.081099999999999</v>
      </c>
      <c r="J592" s="4">
        <f>14.9724 * CHOOSE(CONTROL!$C$12, $D$11, 100%, $F$11)</f>
        <v>14.9724</v>
      </c>
      <c r="K592" s="4"/>
      <c r="L592" s="9">
        <v>27.3993</v>
      </c>
      <c r="M592" s="9">
        <v>12.063700000000001</v>
      </c>
      <c r="N592" s="9">
        <v>4.9444999999999997</v>
      </c>
      <c r="O592" s="9">
        <v>0.37459999999999999</v>
      </c>
      <c r="P592" s="9">
        <v>1.2939000000000001</v>
      </c>
      <c r="Q592" s="9">
        <v>19.688099999999999</v>
      </c>
      <c r="R592" s="9"/>
      <c r="S592" s="11"/>
    </row>
    <row r="593" spans="1:19" ht="15.75">
      <c r="A593" s="13">
        <v>59932</v>
      </c>
      <c r="B593" s="8">
        <f>16.2277 * CHOOSE(CONTROL!$C$12, $D$11, 100%, $F$11)</f>
        <v>16.227699999999999</v>
      </c>
      <c r="C593" s="8">
        <f>16.2382 * CHOOSE(CONTROL!$C$12, $D$11, 100%, $F$11)</f>
        <v>16.238199999999999</v>
      </c>
      <c r="D593" s="8">
        <f>16.2358 * CHOOSE( CONTROL!$C$12, $D$11, 100%, $F$11)</f>
        <v>16.235800000000001</v>
      </c>
      <c r="E593" s="12">
        <f>16.2356 * CHOOSE( CONTROL!$C$12, $D$11, 100%, $F$11)</f>
        <v>16.235600000000002</v>
      </c>
      <c r="F593" s="4">
        <f>17.2506 * CHOOSE(CONTROL!$C$12, $D$11, 100%, $F$11)</f>
        <v>17.250599999999999</v>
      </c>
      <c r="G593" s="8">
        <f>15.8458 * CHOOSE( CONTROL!$C$12, $D$11, 100%, $F$11)</f>
        <v>15.845800000000001</v>
      </c>
      <c r="H593" s="4">
        <f>16.7392 * CHOOSE(CONTROL!$C$12, $D$11, 100%, $F$11)</f>
        <v>16.7392</v>
      </c>
      <c r="I593" s="8">
        <f>15.661 * CHOOSE(CONTROL!$C$12, $D$11, 100%, $F$11)</f>
        <v>15.661</v>
      </c>
      <c r="J593" s="4">
        <f>15.5447 * CHOOSE(CONTROL!$C$12, $D$11, 100%, $F$11)</f>
        <v>15.544700000000001</v>
      </c>
      <c r="K593" s="4"/>
      <c r="L593" s="9">
        <v>27.3993</v>
      </c>
      <c r="M593" s="9">
        <v>12.063700000000001</v>
      </c>
      <c r="N593" s="9">
        <v>4.9444999999999997</v>
      </c>
      <c r="O593" s="9">
        <v>0.37459999999999999</v>
      </c>
      <c r="P593" s="9">
        <v>1.2939000000000001</v>
      </c>
      <c r="Q593" s="9">
        <v>19.688099999999999</v>
      </c>
      <c r="R593" s="9"/>
      <c r="S593" s="11"/>
    </row>
    <row r="594" spans="1:19" ht="15.75">
      <c r="A594" s="13">
        <v>59961</v>
      </c>
      <c r="B594" s="8">
        <f>15.179 * CHOOSE(CONTROL!$C$12, $D$11, 100%, $F$11)</f>
        <v>15.179</v>
      </c>
      <c r="C594" s="8">
        <f>15.1894 * CHOOSE(CONTROL!$C$12, $D$11, 100%, $F$11)</f>
        <v>15.189399999999999</v>
      </c>
      <c r="D594" s="8">
        <f>15.1894 * CHOOSE( CONTROL!$C$12, $D$11, 100%, $F$11)</f>
        <v>15.189399999999999</v>
      </c>
      <c r="E594" s="12">
        <f>15.1883 * CHOOSE( CONTROL!$C$12, $D$11, 100%, $F$11)</f>
        <v>15.1883</v>
      </c>
      <c r="F594" s="4">
        <f>16.194 * CHOOSE(CONTROL!$C$12, $D$11, 100%, $F$11)</f>
        <v>16.193999999999999</v>
      </c>
      <c r="G594" s="8">
        <f>14.8234 * CHOOSE( CONTROL!$C$12, $D$11, 100%, $F$11)</f>
        <v>14.823399999999999</v>
      </c>
      <c r="H594" s="4">
        <f>15.7092 * CHOOSE(CONTROL!$C$12, $D$11, 100%, $F$11)</f>
        <v>15.709199999999999</v>
      </c>
      <c r="I594" s="8">
        <f>14.6446 * CHOOSE(CONTROL!$C$12, $D$11, 100%, $F$11)</f>
        <v>14.644600000000001</v>
      </c>
      <c r="J594" s="4">
        <f>14.5397 * CHOOSE(CONTROL!$C$12, $D$11, 100%, $F$11)</f>
        <v>14.5397</v>
      </c>
      <c r="K594" s="4"/>
      <c r="L594" s="9">
        <v>25.631599999999999</v>
      </c>
      <c r="M594" s="9">
        <v>11.285299999999999</v>
      </c>
      <c r="N594" s="9">
        <v>4.6254999999999997</v>
      </c>
      <c r="O594" s="9">
        <v>0.35039999999999999</v>
      </c>
      <c r="P594" s="9">
        <v>1.2104999999999999</v>
      </c>
      <c r="Q594" s="9">
        <v>18.417899999999999</v>
      </c>
      <c r="R594" s="9"/>
      <c r="S594" s="11"/>
    </row>
    <row r="595" spans="1:19" ht="15.75">
      <c r="A595" s="13">
        <v>59992</v>
      </c>
      <c r="B595" s="8">
        <f>14.8559 * CHOOSE(CONTROL!$C$12, $D$11, 100%, $F$11)</f>
        <v>14.8559</v>
      </c>
      <c r="C595" s="8">
        <f>14.8664 * CHOOSE(CONTROL!$C$12, $D$11, 100%, $F$11)</f>
        <v>14.866400000000001</v>
      </c>
      <c r="D595" s="8">
        <f>14.8462 * CHOOSE( CONTROL!$C$12, $D$11, 100%, $F$11)</f>
        <v>14.8462</v>
      </c>
      <c r="E595" s="12">
        <f>14.8525 * CHOOSE( CONTROL!$C$12, $D$11, 100%, $F$11)</f>
        <v>14.852499999999999</v>
      </c>
      <c r="F595" s="4">
        <f>15.8548 * CHOOSE(CONTROL!$C$12, $D$11, 100%, $F$11)</f>
        <v>15.854799999999999</v>
      </c>
      <c r="G595" s="8">
        <f>14.488 * CHOOSE( CONTROL!$C$12, $D$11, 100%, $F$11)</f>
        <v>14.488</v>
      </c>
      <c r="H595" s="4">
        <f>15.3786 * CHOOSE(CONTROL!$C$12, $D$11, 100%, $F$11)</f>
        <v>15.3786</v>
      </c>
      <c r="I595" s="8">
        <f>14.2955 * CHOOSE(CONTROL!$C$12, $D$11, 100%, $F$11)</f>
        <v>14.295500000000001</v>
      </c>
      <c r="J595" s="4">
        <f>14.2302 * CHOOSE(CONTROL!$C$12, $D$11, 100%, $F$11)</f>
        <v>14.2302</v>
      </c>
      <c r="K595" s="4"/>
      <c r="L595" s="9">
        <v>27.3993</v>
      </c>
      <c r="M595" s="9">
        <v>12.063700000000001</v>
      </c>
      <c r="N595" s="9">
        <v>4.9444999999999997</v>
      </c>
      <c r="O595" s="9">
        <v>0.37459999999999999</v>
      </c>
      <c r="P595" s="9">
        <v>1.2939000000000001</v>
      </c>
      <c r="Q595" s="9">
        <v>19.688099999999999</v>
      </c>
      <c r="R595" s="9"/>
      <c r="S595" s="11"/>
    </row>
    <row r="596" spans="1:19" ht="15.75">
      <c r="A596" s="13">
        <v>60022</v>
      </c>
      <c r="B596" s="8">
        <f>15.0817 * CHOOSE(CONTROL!$C$12, $D$11, 100%, $F$11)</f>
        <v>15.0817</v>
      </c>
      <c r="C596" s="8">
        <f>15.0921 * CHOOSE(CONTROL!$C$12, $D$11, 100%, $F$11)</f>
        <v>15.0921</v>
      </c>
      <c r="D596" s="8">
        <f>15.0953 * CHOOSE( CONTROL!$C$12, $D$11, 100%, $F$11)</f>
        <v>15.0953</v>
      </c>
      <c r="E596" s="12">
        <f>15.0931 * CHOOSE( CONTROL!$C$12, $D$11, 100%, $F$11)</f>
        <v>15.0931</v>
      </c>
      <c r="F596" s="4">
        <f>16.0889 * CHOOSE(CONTROL!$C$12, $D$11, 100%, $F$11)</f>
        <v>16.088899999999999</v>
      </c>
      <c r="G596" s="8">
        <f>14.6959 * CHOOSE( CONTROL!$C$12, $D$11, 100%, $F$11)</f>
        <v>14.6959</v>
      </c>
      <c r="H596" s="4">
        <f>15.6068 * CHOOSE(CONTROL!$C$12, $D$11, 100%, $F$11)</f>
        <v>15.6068</v>
      </c>
      <c r="I596" s="8">
        <f>14.5019 * CHOOSE(CONTROL!$C$12, $D$11, 100%, $F$11)</f>
        <v>14.501899999999999</v>
      </c>
      <c r="J596" s="4">
        <f>14.4465 * CHOOSE(CONTROL!$C$12, $D$11, 100%, $F$11)</f>
        <v>14.4465</v>
      </c>
      <c r="K596" s="4"/>
      <c r="L596" s="9">
        <v>27.988800000000001</v>
      </c>
      <c r="M596" s="9">
        <v>11.6745</v>
      </c>
      <c r="N596" s="9">
        <v>4.7850000000000001</v>
      </c>
      <c r="O596" s="9">
        <v>0.36249999999999999</v>
      </c>
      <c r="P596" s="9">
        <v>1.1798</v>
      </c>
      <c r="Q596" s="9">
        <v>19.053000000000001</v>
      </c>
      <c r="R596" s="9"/>
      <c r="S596" s="11"/>
    </row>
    <row r="597" spans="1:19" ht="15.75">
      <c r="A597" s="13">
        <v>60053</v>
      </c>
      <c r="B597" s="8">
        <f>CHOOSE( CONTROL!$C$29, 15.4876, 15.4834) * CHOOSE(CONTROL!$C$12, $D$11, 100%, $F$11)</f>
        <v>15.4876</v>
      </c>
      <c r="C597" s="8">
        <f>CHOOSE( CONTROL!$C$29, 15.4981, 15.4938) * CHOOSE(CONTROL!$C$12, $D$11, 100%, $F$11)</f>
        <v>15.498100000000001</v>
      </c>
      <c r="D597" s="8">
        <f>CHOOSE( CONTROL!$C$29, 15.476, 15.4717) * CHOOSE( CONTROL!$C$12, $D$11, 100%, $F$11)</f>
        <v>15.476000000000001</v>
      </c>
      <c r="E597" s="12">
        <f>CHOOSE( CONTROL!$C$29, 15.4824, 15.4781) * CHOOSE( CONTROL!$C$12, $D$11, 100%, $F$11)</f>
        <v>15.4824</v>
      </c>
      <c r="F597" s="4">
        <f>CHOOSE( CONTROL!$C$29, 16.4625, 16.4583) * CHOOSE(CONTROL!$C$12, $D$11, 100%, $F$11)</f>
        <v>16.462499999999999</v>
      </c>
      <c r="G597" s="8">
        <f>CHOOSE( CONTROL!$C$29, 15.0729, 15.0687) * CHOOSE( CONTROL!$C$12, $D$11, 100%, $F$11)</f>
        <v>15.072900000000001</v>
      </c>
      <c r="H597" s="4">
        <f>CHOOSE( CONTROL!$C$29, 15.971, 15.9668) * CHOOSE(CONTROL!$C$12, $D$11, 100%, $F$11)</f>
        <v>15.971</v>
      </c>
      <c r="I597" s="8">
        <f>CHOOSE( CONTROL!$C$29, 14.8696, 14.8655) * CHOOSE(CONTROL!$C$12, $D$11, 100%, $F$11)</f>
        <v>14.8696</v>
      </c>
      <c r="J597" s="4">
        <f>CHOOSE( CONTROL!$C$29, 14.8355, 14.8314) * CHOOSE(CONTROL!$C$12, $D$11, 100%, $F$11)</f>
        <v>14.8355</v>
      </c>
      <c r="K597" s="4"/>
      <c r="L597" s="9">
        <v>29.520499999999998</v>
      </c>
      <c r="M597" s="9">
        <v>12.063700000000001</v>
      </c>
      <c r="N597" s="9">
        <v>4.9444999999999997</v>
      </c>
      <c r="O597" s="9">
        <v>0.37459999999999999</v>
      </c>
      <c r="P597" s="9">
        <v>1.2192000000000001</v>
      </c>
      <c r="Q597" s="9">
        <v>19.688099999999999</v>
      </c>
      <c r="R597" s="9"/>
      <c r="S597" s="11"/>
    </row>
    <row r="598" spans="1:19" ht="15.75">
      <c r="A598" s="13">
        <v>60083</v>
      </c>
      <c r="B598" s="8">
        <f>CHOOSE( CONTROL!$C$29, 15.2388, 15.2345) * CHOOSE(CONTROL!$C$12, $D$11, 100%, $F$11)</f>
        <v>15.238799999999999</v>
      </c>
      <c r="C598" s="8">
        <f>CHOOSE( CONTROL!$C$29, 15.2492, 15.245) * CHOOSE(CONTROL!$C$12, $D$11, 100%, $F$11)</f>
        <v>15.2492</v>
      </c>
      <c r="D598" s="8">
        <f>CHOOSE( CONTROL!$C$29, 15.2215, 15.2173) * CHOOSE( CONTROL!$C$12, $D$11, 100%, $F$11)</f>
        <v>15.221500000000001</v>
      </c>
      <c r="E598" s="12">
        <f>CHOOSE( CONTROL!$C$29, 15.23, 15.2257) * CHOOSE( CONTROL!$C$12, $D$11, 100%, $F$11)</f>
        <v>15.23</v>
      </c>
      <c r="F598" s="4">
        <f>CHOOSE( CONTROL!$C$29, 16.2032, 16.199) * CHOOSE(CONTROL!$C$12, $D$11, 100%, $F$11)</f>
        <v>16.203199999999999</v>
      </c>
      <c r="G598" s="8">
        <f>CHOOSE( CONTROL!$C$29, 14.829, 14.8249) * CHOOSE( CONTROL!$C$12, $D$11, 100%, $F$11)</f>
        <v>14.829000000000001</v>
      </c>
      <c r="H598" s="4">
        <f>CHOOSE( CONTROL!$C$29, 15.7182, 15.7141) * CHOOSE(CONTROL!$C$12, $D$11, 100%, $F$11)</f>
        <v>15.7182</v>
      </c>
      <c r="I598" s="8">
        <f>CHOOSE( CONTROL!$C$29, 14.6332, 14.6291) * CHOOSE(CONTROL!$C$12, $D$11, 100%, $F$11)</f>
        <v>14.6332</v>
      </c>
      <c r="J598" s="4">
        <f>CHOOSE( CONTROL!$C$29, 14.597, 14.593) * CHOOSE(CONTROL!$C$12, $D$11, 100%, $F$11)</f>
        <v>14.597</v>
      </c>
      <c r="K598" s="4"/>
      <c r="L598" s="9">
        <v>28.568200000000001</v>
      </c>
      <c r="M598" s="9">
        <v>11.6745</v>
      </c>
      <c r="N598" s="9">
        <v>4.7850000000000001</v>
      </c>
      <c r="O598" s="9">
        <v>0.36249999999999999</v>
      </c>
      <c r="P598" s="9">
        <v>1.1798</v>
      </c>
      <c r="Q598" s="9">
        <v>19.053000000000001</v>
      </c>
      <c r="R598" s="9"/>
      <c r="S598" s="11"/>
    </row>
    <row r="599" spans="1:19" ht="15.75">
      <c r="A599" s="13">
        <v>60114</v>
      </c>
      <c r="B599" s="8">
        <f>CHOOSE( CONTROL!$C$29, 15.8941, 15.8899) * CHOOSE(CONTROL!$C$12, $D$11, 100%, $F$11)</f>
        <v>15.8941</v>
      </c>
      <c r="C599" s="8">
        <f>CHOOSE( CONTROL!$C$29, 15.9045, 15.9003) * CHOOSE(CONTROL!$C$12, $D$11, 100%, $F$11)</f>
        <v>15.904500000000001</v>
      </c>
      <c r="D599" s="8">
        <f>CHOOSE( CONTROL!$C$29, 15.9107, 15.9064) * CHOOSE( CONTROL!$C$12, $D$11, 100%, $F$11)</f>
        <v>15.9107</v>
      </c>
      <c r="E599" s="12">
        <f>CHOOSE( CONTROL!$C$29, 15.9069, 15.9026) * CHOOSE( CONTROL!$C$12, $D$11, 100%, $F$11)</f>
        <v>15.9069</v>
      </c>
      <c r="F599" s="4">
        <f>CHOOSE( CONTROL!$C$29, 16.904, 16.8997) * CHOOSE(CONTROL!$C$12, $D$11, 100%, $F$11)</f>
        <v>16.904</v>
      </c>
      <c r="G599" s="8">
        <f>CHOOSE( CONTROL!$C$29, 15.4939, 15.4897) * CHOOSE( CONTROL!$C$12, $D$11, 100%, $F$11)</f>
        <v>15.4939</v>
      </c>
      <c r="H599" s="4">
        <f>CHOOSE( CONTROL!$C$29, 16.4013, 16.3971) * CHOOSE(CONTROL!$C$12, $D$11, 100%, $F$11)</f>
        <v>16.401299999999999</v>
      </c>
      <c r="I599" s="8">
        <f>CHOOSE( CONTROL!$C$29, 15.3167, 15.3127) * CHOOSE(CONTROL!$C$12, $D$11, 100%, $F$11)</f>
        <v>15.316700000000001</v>
      </c>
      <c r="J599" s="4">
        <f>CHOOSE( CONTROL!$C$29, 15.225, 15.2209) * CHOOSE(CONTROL!$C$12, $D$11, 100%, $F$11)</f>
        <v>15.225</v>
      </c>
      <c r="K599" s="4"/>
      <c r="L599" s="9">
        <v>29.520499999999998</v>
      </c>
      <c r="M599" s="9">
        <v>12.063700000000001</v>
      </c>
      <c r="N599" s="9">
        <v>4.9444999999999997</v>
      </c>
      <c r="O599" s="9">
        <v>0.37459999999999999</v>
      </c>
      <c r="P599" s="9">
        <v>1.2192000000000001</v>
      </c>
      <c r="Q599" s="9">
        <v>19.688099999999999</v>
      </c>
      <c r="R599" s="9"/>
      <c r="S599" s="11"/>
    </row>
    <row r="600" spans="1:19" ht="15.75">
      <c r="A600" s="13">
        <v>60145</v>
      </c>
      <c r="B600" s="8">
        <f>CHOOSE( CONTROL!$C$29, 14.6679, 14.6637) * CHOOSE(CONTROL!$C$12, $D$11, 100%, $F$11)</f>
        <v>14.667899999999999</v>
      </c>
      <c r="C600" s="8">
        <f>CHOOSE( CONTROL!$C$29, 14.6783, 14.6741) * CHOOSE(CONTROL!$C$12, $D$11, 100%, $F$11)</f>
        <v>14.6783</v>
      </c>
      <c r="D600" s="8">
        <f>CHOOSE( CONTROL!$C$29, 14.7009, 14.6967) * CHOOSE( CONTROL!$C$12, $D$11, 100%, $F$11)</f>
        <v>14.700900000000001</v>
      </c>
      <c r="E600" s="12">
        <f>CHOOSE( CONTROL!$C$29, 14.6911, 14.6869) * CHOOSE( CONTROL!$C$12, $D$11, 100%, $F$11)</f>
        <v>14.6911</v>
      </c>
      <c r="F600" s="4">
        <f>CHOOSE( CONTROL!$C$29, 15.7065, 15.7022) * CHOOSE(CONTROL!$C$12, $D$11, 100%, $F$11)</f>
        <v>15.7065</v>
      </c>
      <c r="G600" s="8">
        <f>CHOOSE( CONTROL!$C$29, 14.3042, 14.3001) * CHOOSE( CONTROL!$C$12, $D$11, 100%, $F$11)</f>
        <v>14.3042</v>
      </c>
      <c r="H600" s="4">
        <f>CHOOSE( CONTROL!$C$29, 15.234, 15.2298) * CHOOSE(CONTROL!$C$12, $D$11, 100%, $F$11)</f>
        <v>15.234</v>
      </c>
      <c r="I600" s="8">
        <f>CHOOSE( CONTROL!$C$29, 14.1327, 14.1286) * CHOOSE(CONTROL!$C$12, $D$11, 100%, $F$11)</f>
        <v>14.1327</v>
      </c>
      <c r="J600" s="4">
        <f>CHOOSE( CONTROL!$C$29, 14.05, 14.046) * CHOOSE(CONTROL!$C$12, $D$11, 100%, $F$11)</f>
        <v>14.05</v>
      </c>
      <c r="K600" s="4"/>
      <c r="L600" s="9">
        <v>29.520499999999998</v>
      </c>
      <c r="M600" s="9">
        <v>12.063700000000001</v>
      </c>
      <c r="N600" s="9">
        <v>4.9444999999999997</v>
      </c>
      <c r="O600" s="9">
        <v>0.37459999999999999</v>
      </c>
      <c r="P600" s="9">
        <v>1.2192000000000001</v>
      </c>
      <c r="Q600" s="9">
        <v>19.688099999999999</v>
      </c>
      <c r="R600" s="9"/>
      <c r="S600" s="11"/>
    </row>
    <row r="601" spans="1:19" ht="15.75">
      <c r="A601" s="13">
        <v>60175</v>
      </c>
      <c r="B601" s="8">
        <f>CHOOSE( CONTROL!$C$29, 14.3608, 14.3566) * CHOOSE(CONTROL!$C$12, $D$11, 100%, $F$11)</f>
        <v>14.360799999999999</v>
      </c>
      <c r="C601" s="8">
        <f>CHOOSE( CONTROL!$C$29, 14.3713, 14.367) * CHOOSE(CONTROL!$C$12, $D$11, 100%, $F$11)</f>
        <v>14.3713</v>
      </c>
      <c r="D601" s="8">
        <f>CHOOSE( CONTROL!$C$29, 14.3938, 14.3896) * CHOOSE( CONTROL!$C$12, $D$11, 100%, $F$11)</f>
        <v>14.393800000000001</v>
      </c>
      <c r="E601" s="12">
        <f>CHOOSE( CONTROL!$C$29, 14.384, 14.3798) * CHOOSE( CONTROL!$C$12, $D$11, 100%, $F$11)</f>
        <v>14.384</v>
      </c>
      <c r="F601" s="4">
        <f>CHOOSE( CONTROL!$C$29, 15.3994, 15.3952) * CHOOSE(CONTROL!$C$12, $D$11, 100%, $F$11)</f>
        <v>15.3994</v>
      </c>
      <c r="G601" s="8">
        <f>CHOOSE( CONTROL!$C$29, 14.0046, 14.0004) * CHOOSE( CONTROL!$C$12, $D$11, 100%, $F$11)</f>
        <v>14.0046</v>
      </c>
      <c r="H601" s="4">
        <f>CHOOSE( CONTROL!$C$29, 14.9347, 14.9305) * CHOOSE(CONTROL!$C$12, $D$11, 100%, $F$11)</f>
        <v>14.934699999999999</v>
      </c>
      <c r="I601" s="8">
        <f>CHOOSE( CONTROL!$C$29, 13.8366, 13.8325) * CHOOSE(CONTROL!$C$12, $D$11, 100%, $F$11)</f>
        <v>13.836600000000001</v>
      </c>
      <c r="J601" s="4">
        <f>CHOOSE( CONTROL!$C$29, 13.7558, 13.7517) * CHOOSE(CONTROL!$C$12, $D$11, 100%, $F$11)</f>
        <v>13.755800000000001</v>
      </c>
      <c r="K601" s="4"/>
      <c r="L601" s="9">
        <v>28.568200000000001</v>
      </c>
      <c r="M601" s="9">
        <v>11.6745</v>
      </c>
      <c r="N601" s="9">
        <v>4.7850000000000001</v>
      </c>
      <c r="O601" s="9">
        <v>0.36249999999999999</v>
      </c>
      <c r="P601" s="9">
        <v>1.1798</v>
      </c>
      <c r="Q601" s="9">
        <v>19.053000000000001</v>
      </c>
      <c r="R601" s="9"/>
      <c r="S601" s="11"/>
    </row>
    <row r="602" spans="1:19" ht="15.75">
      <c r="A602" s="13">
        <v>60206</v>
      </c>
      <c r="B602" s="8">
        <f>14.9942 * CHOOSE(CONTROL!$C$12, $D$11, 100%, $F$11)</f>
        <v>14.994199999999999</v>
      </c>
      <c r="C602" s="8">
        <f>15.0046 * CHOOSE(CONTROL!$C$12, $D$11, 100%, $F$11)</f>
        <v>15.0046</v>
      </c>
      <c r="D602" s="8">
        <f>15.009 * CHOOSE( CONTROL!$C$12, $D$11, 100%, $F$11)</f>
        <v>15.009</v>
      </c>
      <c r="E602" s="12">
        <f>15.0064 * CHOOSE( CONTROL!$C$12, $D$11, 100%, $F$11)</f>
        <v>15.006399999999999</v>
      </c>
      <c r="F602" s="4">
        <f>16.0014 * CHOOSE(CONTROL!$C$12, $D$11, 100%, $F$11)</f>
        <v>16.0014</v>
      </c>
      <c r="G602" s="8">
        <f>14.6122 * CHOOSE( CONTROL!$C$12, $D$11, 100%, $F$11)</f>
        <v>14.6122</v>
      </c>
      <c r="H602" s="4">
        <f>15.5215 * CHOOSE(CONTROL!$C$12, $D$11, 100%, $F$11)</f>
        <v>15.5215</v>
      </c>
      <c r="I602" s="8">
        <f>14.4404 * CHOOSE(CONTROL!$C$12, $D$11, 100%, $F$11)</f>
        <v>14.4404</v>
      </c>
      <c r="J602" s="4">
        <f>14.3626 * CHOOSE(CONTROL!$C$12, $D$11, 100%, $F$11)</f>
        <v>14.3626</v>
      </c>
      <c r="K602" s="4"/>
      <c r="L602" s="9">
        <v>28.921800000000001</v>
      </c>
      <c r="M602" s="9">
        <v>12.063700000000001</v>
      </c>
      <c r="N602" s="9">
        <v>4.9444999999999997</v>
      </c>
      <c r="O602" s="9">
        <v>0.37459999999999999</v>
      </c>
      <c r="P602" s="9">
        <v>1.2192000000000001</v>
      </c>
      <c r="Q602" s="9">
        <v>19.688099999999999</v>
      </c>
      <c r="R602" s="9"/>
      <c r="S602" s="11"/>
    </row>
    <row r="603" spans="1:19" ht="15.75">
      <c r="A603" s="13">
        <v>60236</v>
      </c>
      <c r="B603" s="8">
        <f>16.1709 * CHOOSE(CONTROL!$C$12, $D$11, 100%, $F$11)</f>
        <v>16.1709</v>
      </c>
      <c r="C603" s="8">
        <f>16.1814 * CHOOSE(CONTROL!$C$12, $D$11, 100%, $F$11)</f>
        <v>16.1814</v>
      </c>
      <c r="D603" s="8">
        <f>16.1638 * CHOOSE( CONTROL!$C$12, $D$11, 100%, $F$11)</f>
        <v>16.163799999999998</v>
      </c>
      <c r="E603" s="12">
        <f>16.1691 * CHOOSE( CONTROL!$C$12, $D$11, 100%, $F$11)</f>
        <v>16.1691</v>
      </c>
      <c r="F603" s="4">
        <f>17.1652 * CHOOSE(CONTROL!$C$12, $D$11, 100%, $F$11)</f>
        <v>17.165199999999999</v>
      </c>
      <c r="G603" s="8">
        <f>15.7718 * CHOOSE( CONTROL!$C$12, $D$11, 100%, $F$11)</f>
        <v>15.771800000000001</v>
      </c>
      <c r="H603" s="4">
        <f>16.6559 * CHOOSE(CONTROL!$C$12, $D$11, 100%, $F$11)</f>
        <v>16.655899999999999</v>
      </c>
      <c r="I603" s="8">
        <f>15.592 * CHOOSE(CONTROL!$C$12, $D$11, 100%, $F$11)</f>
        <v>15.592000000000001</v>
      </c>
      <c r="J603" s="4">
        <f>15.4902 * CHOOSE(CONTROL!$C$12, $D$11, 100%, $F$11)</f>
        <v>15.4902</v>
      </c>
      <c r="K603" s="4"/>
      <c r="L603" s="9">
        <v>26.515499999999999</v>
      </c>
      <c r="M603" s="9">
        <v>11.6745</v>
      </c>
      <c r="N603" s="9">
        <v>4.7850000000000001</v>
      </c>
      <c r="O603" s="9">
        <v>0.36249999999999999</v>
      </c>
      <c r="P603" s="9">
        <v>1.2522</v>
      </c>
      <c r="Q603" s="9">
        <v>19.053000000000001</v>
      </c>
      <c r="R603" s="9"/>
      <c r="S603" s="11"/>
    </row>
    <row r="604" spans="1:19" ht="15.75">
      <c r="A604" s="13">
        <v>60267</v>
      </c>
      <c r="B604" s="8">
        <f>16.1415 * CHOOSE(CONTROL!$C$12, $D$11, 100%, $F$11)</f>
        <v>16.141500000000001</v>
      </c>
      <c r="C604" s="8">
        <f>16.152 * CHOOSE(CONTROL!$C$12, $D$11, 100%, $F$11)</f>
        <v>16.152000000000001</v>
      </c>
      <c r="D604" s="8">
        <f>16.1364 * CHOOSE( CONTROL!$C$12, $D$11, 100%, $F$11)</f>
        <v>16.136399999999998</v>
      </c>
      <c r="E604" s="12">
        <f>16.141 * CHOOSE( CONTROL!$C$12, $D$11, 100%, $F$11)</f>
        <v>16.140999999999998</v>
      </c>
      <c r="F604" s="4">
        <f>17.1358 * CHOOSE(CONTROL!$C$12, $D$11, 100%, $F$11)</f>
        <v>17.1358</v>
      </c>
      <c r="G604" s="8">
        <f>15.7446 * CHOOSE( CONTROL!$C$12, $D$11, 100%, $F$11)</f>
        <v>15.7446</v>
      </c>
      <c r="H604" s="4">
        <f>16.6272 * CHOOSE(CONTROL!$C$12, $D$11, 100%, $F$11)</f>
        <v>16.627199999999998</v>
      </c>
      <c r="I604" s="8">
        <f>15.571 * CHOOSE(CONTROL!$C$12, $D$11, 100%, $F$11)</f>
        <v>15.571</v>
      </c>
      <c r="J604" s="4">
        <f>15.4621 * CHOOSE(CONTROL!$C$12, $D$11, 100%, $F$11)</f>
        <v>15.4621</v>
      </c>
      <c r="K604" s="4"/>
      <c r="L604" s="9">
        <v>27.3993</v>
      </c>
      <c r="M604" s="9">
        <v>12.063700000000001</v>
      </c>
      <c r="N604" s="9">
        <v>4.9444999999999997</v>
      </c>
      <c r="O604" s="9">
        <v>0.37459999999999999</v>
      </c>
      <c r="P604" s="9">
        <v>1.2939000000000001</v>
      </c>
      <c r="Q604" s="9">
        <v>19.688099999999999</v>
      </c>
      <c r="R604" s="9"/>
      <c r="S604" s="11"/>
    </row>
    <row r="605" spans="1:19" ht="15.75">
      <c r="A605" s="13">
        <v>60298</v>
      </c>
      <c r="B605" s="8">
        <f>16.7583 * CHOOSE(CONTROL!$C$12, $D$11, 100%, $F$11)</f>
        <v>16.758299999999998</v>
      </c>
      <c r="C605" s="8">
        <f>16.7687 * CHOOSE(CONTROL!$C$12, $D$11, 100%, $F$11)</f>
        <v>16.768699999999999</v>
      </c>
      <c r="D605" s="8">
        <f>16.7664 * CHOOSE( CONTROL!$C$12, $D$11, 100%, $F$11)</f>
        <v>16.766400000000001</v>
      </c>
      <c r="E605" s="12">
        <f>16.7661 * CHOOSE( CONTROL!$C$12, $D$11, 100%, $F$11)</f>
        <v>16.766100000000002</v>
      </c>
      <c r="F605" s="4">
        <f>17.7812 * CHOOSE(CONTROL!$C$12, $D$11, 100%, $F$11)</f>
        <v>17.781199999999998</v>
      </c>
      <c r="G605" s="8">
        <f>16.363 * CHOOSE( CONTROL!$C$12, $D$11, 100%, $F$11)</f>
        <v>16.363</v>
      </c>
      <c r="H605" s="4">
        <f>17.2563 * CHOOSE(CONTROL!$C$12, $D$11, 100%, $F$11)</f>
        <v>17.2563</v>
      </c>
      <c r="I605" s="8">
        <f>16.1696 * CHOOSE(CONTROL!$C$12, $D$11, 100%, $F$11)</f>
        <v>16.169599999999999</v>
      </c>
      <c r="J605" s="4">
        <f>16.053 * CHOOSE(CONTROL!$C$12, $D$11, 100%, $F$11)</f>
        <v>16.053000000000001</v>
      </c>
      <c r="K605" s="4"/>
      <c r="L605" s="9">
        <v>27.3993</v>
      </c>
      <c r="M605" s="9">
        <v>12.063700000000001</v>
      </c>
      <c r="N605" s="9">
        <v>4.9444999999999997</v>
      </c>
      <c r="O605" s="9">
        <v>0.37459999999999999</v>
      </c>
      <c r="P605" s="9">
        <v>1.2939000000000001</v>
      </c>
      <c r="Q605" s="9">
        <v>19.688099999999999</v>
      </c>
      <c r="R605" s="9"/>
      <c r="S605" s="11"/>
    </row>
    <row r="606" spans="1:19" ht="15.75">
      <c r="A606" s="13">
        <v>60326</v>
      </c>
      <c r="B606" s="8">
        <f>15.6752 * CHOOSE(CONTROL!$C$12, $D$11, 100%, $F$11)</f>
        <v>15.6752</v>
      </c>
      <c r="C606" s="8">
        <f>15.6856 * CHOOSE(CONTROL!$C$12, $D$11, 100%, $F$11)</f>
        <v>15.685600000000001</v>
      </c>
      <c r="D606" s="8">
        <f>15.6856 * CHOOSE( CONTROL!$C$12, $D$11, 100%, $F$11)</f>
        <v>15.685600000000001</v>
      </c>
      <c r="E606" s="12">
        <f>15.6845 * CHOOSE( CONTROL!$C$12, $D$11, 100%, $F$11)</f>
        <v>15.6845</v>
      </c>
      <c r="F606" s="4">
        <f>16.6903 * CHOOSE(CONTROL!$C$12, $D$11, 100%, $F$11)</f>
        <v>16.690300000000001</v>
      </c>
      <c r="G606" s="8">
        <f>15.3071 * CHOOSE( CONTROL!$C$12, $D$11, 100%, $F$11)</f>
        <v>15.3071</v>
      </c>
      <c r="H606" s="4">
        <f>16.193 * CHOOSE(CONTROL!$C$12, $D$11, 100%, $F$11)</f>
        <v>16.193000000000001</v>
      </c>
      <c r="I606" s="8">
        <f>15.1204 * CHOOSE(CONTROL!$C$12, $D$11, 100%, $F$11)</f>
        <v>15.1204</v>
      </c>
      <c r="J606" s="4">
        <f>15.0152 * CHOOSE(CONTROL!$C$12, $D$11, 100%, $F$11)</f>
        <v>15.0152</v>
      </c>
      <c r="K606" s="4"/>
      <c r="L606" s="9">
        <v>24.747800000000002</v>
      </c>
      <c r="M606" s="9">
        <v>10.8962</v>
      </c>
      <c r="N606" s="9">
        <v>4.4660000000000002</v>
      </c>
      <c r="O606" s="9">
        <v>0.33829999999999999</v>
      </c>
      <c r="P606" s="9">
        <v>1.1687000000000001</v>
      </c>
      <c r="Q606" s="9">
        <v>17.782800000000002</v>
      </c>
      <c r="R606" s="9"/>
      <c r="S606" s="11"/>
    </row>
    <row r="607" spans="1:19" ht="15.75">
      <c r="A607" s="13">
        <v>60357</v>
      </c>
      <c r="B607" s="8">
        <f>15.3416 * CHOOSE(CONTROL!$C$12, $D$11, 100%, $F$11)</f>
        <v>15.3416</v>
      </c>
      <c r="C607" s="8">
        <f>15.3521 * CHOOSE(CONTROL!$C$12, $D$11, 100%, $F$11)</f>
        <v>15.3521</v>
      </c>
      <c r="D607" s="8">
        <f>15.3319 * CHOOSE( CONTROL!$C$12, $D$11, 100%, $F$11)</f>
        <v>15.331899999999999</v>
      </c>
      <c r="E607" s="12">
        <f>15.3382 * CHOOSE( CONTROL!$C$12, $D$11, 100%, $F$11)</f>
        <v>15.338200000000001</v>
      </c>
      <c r="F607" s="4">
        <f>16.3405 * CHOOSE(CONTROL!$C$12, $D$11, 100%, $F$11)</f>
        <v>16.340499999999999</v>
      </c>
      <c r="G607" s="8">
        <f>14.9614 * CHOOSE( CONTROL!$C$12, $D$11, 100%, $F$11)</f>
        <v>14.961399999999999</v>
      </c>
      <c r="H607" s="4">
        <f>15.852 * CHOOSE(CONTROL!$C$12, $D$11, 100%, $F$11)</f>
        <v>15.852</v>
      </c>
      <c r="I607" s="8">
        <f>14.7611 * CHOOSE(CONTROL!$C$12, $D$11, 100%, $F$11)</f>
        <v>14.761100000000001</v>
      </c>
      <c r="J607" s="4">
        <f>14.6956 * CHOOSE(CONTROL!$C$12, $D$11, 100%, $F$11)</f>
        <v>14.695600000000001</v>
      </c>
      <c r="K607" s="4"/>
      <c r="L607" s="9">
        <v>27.3993</v>
      </c>
      <c r="M607" s="9">
        <v>12.063700000000001</v>
      </c>
      <c r="N607" s="9">
        <v>4.9444999999999997</v>
      </c>
      <c r="O607" s="9">
        <v>0.37459999999999999</v>
      </c>
      <c r="P607" s="9">
        <v>1.2939000000000001</v>
      </c>
      <c r="Q607" s="9">
        <v>19.688099999999999</v>
      </c>
      <c r="R607" s="9"/>
      <c r="S607" s="11"/>
    </row>
    <row r="608" spans="1:19" ht="15.75">
      <c r="A608" s="13">
        <v>60387</v>
      </c>
      <c r="B608" s="8">
        <f>15.5747 * CHOOSE(CONTROL!$C$12, $D$11, 100%, $F$11)</f>
        <v>15.5747</v>
      </c>
      <c r="C608" s="8">
        <f>15.5852 * CHOOSE(CONTROL!$C$12, $D$11, 100%, $F$11)</f>
        <v>15.5852</v>
      </c>
      <c r="D608" s="8">
        <f>15.5884 * CHOOSE( CONTROL!$C$12, $D$11, 100%, $F$11)</f>
        <v>15.5884</v>
      </c>
      <c r="E608" s="12">
        <f>15.5861 * CHOOSE( CONTROL!$C$12, $D$11, 100%, $F$11)</f>
        <v>15.5861</v>
      </c>
      <c r="F608" s="4">
        <f>16.582 * CHOOSE(CONTROL!$C$12, $D$11, 100%, $F$11)</f>
        <v>16.582000000000001</v>
      </c>
      <c r="G608" s="8">
        <f>15.1765 * CHOOSE( CONTROL!$C$12, $D$11, 100%, $F$11)</f>
        <v>15.176500000000001</v>
      </c>
      <c r="H608" s="4">
        <f>16.0874 * CHOOSE(CONTROL!$C$12, $D$11, 100%, $F$11)</f>
        <v>16.087399999999999</v>
      </c>
      <c r="I608" s="8">
        <f>14.9746 * CHOOSE(CONTROL!$C$12, $D$11, 100%, $F$11)</f>
        <v>14.974600000000001</v>
      </c>
      <c r="J608" s="4">
        <f>14.9189 * CHOOSE(CONTROL!$C$12, $D$11, 100%, $F$11)</f>
        <v>14.918900000000001</v>
      </c>
      <c r="K608" s="4"/>
      <c r="L608" s="9">
        <v>27.988800000000001</v>
      </c>
      <c r="M608" s="9">
        <v>11.6745</v>
      </c>
      <c r="N608" s="9">
        <v>4.7850000000000001</v>
      </c>
      <c r="O608" s="9">
        <v>0.36249999999999999</v>
      </c>
      <c r="P608" s="9">
        <v>1.1798</v>
      </c>
      <c r="Q608" s="9">
        <v>19.053000000000001</v>
      </c>
      <c r="R608" s="9"/>
      <c r="S608" s="11"/>
    </row>
    <row r="609" spans="1:19" ht="15.75">
      <c r="A609" s="13">
        <v>60418</v>
      </c>
      <c r="B609" s="8">
        <f>CHOOSE( CONTROL!$C$29, 15.9938, 15.9896) * CHOOSE(CONTROL!$C$12, $D$11, 100%, $F$11)</f>
        <v>15.9938</v>
      </c>
      <c r="C609" s="8">
        <f>CHOOSE( CONTROL!$C$29, 16.0043, 16) * CHOOSE(CONTROL!$C$12, $D$11, 100%, $F$11)</f>
        <v>16.004300000000001</v>
      </c>
      <c r="D609" s="8">
        <f>CHOOSE( CONTROL!$C$29, 15.9822, 15.9779) * CHOOSE( CONTROL!$C$12, $D$11, 100%, $F$11)</f>
        <v>15.982200000000001</v>
      </c>
      <c r="E609" s="12">
        <f>CHOOSE( CONTROL!$C$29, 15.9886, 15.9843) * CHOOSE( CONTROL!$C$12, $D$11, 100%, $F$11)</f>
        <v>15.9886</v>
      </c>
      <c r="F609" s="4">
        <f>CHOOSE( CONTROL!$C$29, 16.9687, 16.9645) * CHOOSE(CONTROL!$C$12, $D$11, 100%, $F$11)</f>
        <v>16.968699999999998</v>
      </c>
      <c r="G609" s="8">
        <f>CHOOSE( CONTROL!$C$29, 15.5663, 15.5621) * CHOOSE( CONTROL!$C$12, $D$11, 100%, $F$11)</f>
        <v>15.5663</v>
      </c>
      <c r="H609" s="4">
        <f>CHOOSE( CONTROL!$C$29, 16.4644, 16.4602) * CHOOSE(CONTROL!$C$12, $D$11, 100%, $F$11)</f>
        <v>16.464400000000001</v>
      </c>
      <c r="I609" s="8">
        <f>CHOOSE( CONTROL!$C$29, 15.3549, 15.3508) * CHOOSE(CONTROL!$C$12, $D$11, 100%, $F$11)</f>
        <v>15.354900000000001</v>
      </c>
      <c r="J609" s="4">
        <f>CHOOSE( CONTROL!$C$29, 15.3205, 15.3165) * CHOOSE(CONTROL!$C$12, $D$11, 100%, $F$11)</f>
        <v>15.320499999999999</v>
      </c>
      <c r="K609" s="4"/>
      <c r="L609" s="9">
        <v>29.520499999999998</v>
      </c>
      <c r="M609" s="9">
        <v>12.063700000000001</v>
      </c>
      <c r="N609" s="9">
        <v>4.9444999999999997</v>
      </c>
      <c r="O609" s="9">
        <v>0.37459999999999999</v>
      </c>
      <c r="P609" s="9">
        <v>1.2192000000000001</v>
      </c>
      <c r="Q609" s="9">
        <v>19.688099999999999</v>
      </c>
      <c r="R609" s="9"/>
      <c r="S609" s="11"/>
    </row>
    <row r="610" spans="1:19" ht="15.75">
      <c r="A610" s="13">
        <v>60448</v>
      </c>
      <c r="B610" s="8">
        <f>CHOOSE( CONTROL!$C$29, 15.7368, 15.7326) * CHOOSE(CONTROL!$C$12, $D$11, 100%, $F$11)</f>
        <v>15.736800000000001</v>
      </c>
      <c r="C610" s="8">
        <f>CHOOSE( CONTROL!$C$29, 15.7473, 15.743) * CHOOSE(CONTROL!$C$12, $D$11, 100%, $F$11)</f>
        <v>15.747299999999999</v>
      </c>
      <c r="D610" s="8">
        <f>CHOOSE( CONTROL!$C$29, 15.7196, 15.7154) * CHOOSE( CONTROL!$C$12, $D$11, 100%, $F$11)</f>
        <v>15.7196</v>
      </c>
      <c r="E610" s="12">
        <f>CHOOSE( CONTROL!$C$29, 15.728, 15.7238) * CHOOSE( CONTROL!$C$12, $D$11, 100%, $F$11)</f>
        <v>15.728</v>
      </c>
      <c r="F610" s="4">
        <f>CHOOSE( CONTROL!$C$29, 16.7013, 16.6971) * CHOOSE(CONTROL!$C$12, $D$11, 100%, $F$11)</f>
        <v>16.7013</v>
      </c>
      <c r="G610" s="8">
        <f>CHOOSE( CONTROL!$C$29, 15.3145, 15.3104) * CHOOSE( CONTROL!$C$12, $D$11, 100%, $F$11)</f>
        <v>15.314500000000001</v>
      </c>
      <c r="H610" s="4">
        <f>CHOOSE( CONTROL!$C$29, 16.2037, 16.1996) * CHOOSE(CONTROL!$C$12, $D$11, 100%, $F$11)</f>
        <v>16.203700000000001</v>
      </c>
      <c r="I610" s="8">
        <f>CHOOSE( CONTROL!$C$29, 15.1107, 15.1066) * CHOOSE(CONTROL!$C$12, $D$11, 100%, $F$11)</f>
        <v>15.1107</v>
      </c>
      <c r="J610" s="4">
        <f>CHOOSE( CONTROL!$C$29, 15.0743, 15.0702) * CHOOSE(CONTROL!$C$12, $D$11, 100%, $F$11)</f>
        <v>15.074299999999999</v>
      </c>
      <c r="K610" s="4"/>
      <c r="L610" s="9">
        <v>28.568200000000001</v>
      </c>
      <c r="M610" s="9">
        <v>11.6745</v>
      </c>
      <c r="N610" s="9">
        <v>4.7850000000000001</v>
      </c>
      <c r="O610" s="9">
        <v>0.36249999999999999</v>
      </c>
      <c r="P610" s="9">
        <v>1.1798</v>
      </c>
      <c r="Q610" s="9">
        <v>19.053000000000001</v>
      </c>
      <c r="R610" s="9"/>
      <c r="S610" s="11"/>
    </row>
    <row r="611" spans="1:19" ht="15.75">
      <c r="A611" s="13">
        <v>60479</v>
      </c>
      <c r="B611" s="8">
        <f>CHOOSE( CONTROL!$C$29, 16.4136, 16.4094) * CHOOSE(CONTROL!$C$12, $D$11, 100%, $F$11)</f>
        <v>16.413599999999999</v>
      </c>
      <c r="C611" s="8">
        <f>CHOOSE( CONTROL!$C$29, 16.424, 16.4198) * CHOOSE(CONTROL!$C$12, $D$11, 100%, $F$11)</f>
        <v>16.423999999999999</v>
      </c>
      <c r="D611" s="8">
        <f>CHOOSE( CONTROL!$C$29, 16.4302, 16.4259) * CHOOSE( CONTROL!$C$12, $D$11, 100%, $F$11)</f>
        <v>16.430199999999999</v>
      </c>
      <c r="E611" s="12">
        <f>CHOOSE( CONTROL!$C$29, 16.4264, 16.4221) * CHOOSE( CONTROL!$C$12, $D$11, 100%, $F$11)</f>
        <v>16.426400000000001</v>
      </c>
      <c r="F611" s="4">
        <f>CHOOSE( CONTROL!$C$29, 17.4235, 17.4192) * CHOOSE(CONTROL!$C$12, $D$11, 100%, $F$11)</f>
        <v>17.423500000000001</v>
      </c>
      <c r="G611" s="8">
        <f>CHOOSE( CONTROL!$C$29, 16.0002, 15.9961) * CHOOSE( CONTROL!$C$12, $D$11, 100%, $F$11)</f>
        <v>16.0002</v>
      </c>
      <c r="H611" s="4">
        <f>CHOOSE( CONTROL!$C$29, 16.9076, 16.9035) * CHOOSE(CONTROL!$C$12, $D$11, 100%, $F$11)</f>
        <v>16.907599999999999</v>
      </c>
      <c r="I611" s="8">
        <f>CHOOSE( CONTROL!$C$29, 15.8148, 15.8107) * CHOOSE(CONTROL!$C$12, $D$11, 100%, $F$11)</f>
        <v>15.8148</v>
      </c>
      <c r="J611" s="4">
        <f>CHOOSE( CONTROL!$C$29, 15.7228, 15.7187) * CHOOSE(CONTROL!$C$12, $D$11, 100%, $F$11)</f>
        <v>15.722799999999999</v>
      </c>
      <c r="K611" s="4"/>
      <c r="L611" s="9">
        <v>29.520499999999998</v>
      </c>
      <c r="M611" s="9">
        <v>12.063700000000001</v>
      </c>
      <c r="N611" s="9">
        <v>4.9444999999999997</v>
      </c>
      <c r="O611" s="9">
        <v>0.37459999999999999</v>
      </c>
      <c r="P611" s="9">
        <v>1.2192000000000001</v>
      </c>
      <c r="Q611" s="9">
        <v>19.688099999999999</v>
      </c>
      <c r="R611" s="9"/>
      <c r="S611" s="11"/>
    </row>
    <row r="612" spans="1:19" ht="15.75">
      <c r="A612" s="13">
        <v>60510</v>
      </c>
      <c r="B612" s="8">
        <f>CHOOSE( CONTROL!$C$29, 15.1473, 15.1431) * CHOOSE(CONTROL!$C$12, $D$11, 100%, $F$11)</f>
        <v>15.1473</v>
      </c>
      <c r="C612" s="8">
        <f>CHOOSE( CONTROL!$C$29, 15.1577, 15.1535) * CHOOSE(CONTROL!$C$12, $D$11, 100%, $F$11)</f>
        <v>15.1577</v>
      </c>
      <c r="D612" s="8">
        <f>CHOOSE( CONTROL!$C$29, 15.1803, 15.1761) * CHOOSE( CONTROL!$C$12, $D$11, 100%, $F$11)</f>
        <v>15.180300000000001</v>
      </c>
      <c r="E612" s="12">
        <f>CHOOSE( CONTROL!$C$29, 15.1705, 15.1663) * CHOOSE( CONTROL!$C$12, $D$11, 100%, $F$11)</f>
        <v>15.170500000000001</v>
      </c>
      <c r="F612" s="4">
        <f>CHOOSE( CONTROL!$C$29, 16.1859, 16.1816) * CHOOSE(CONTROL!$C$12, $D$11, 100%, $F$11)</f>
        <v>16.1859</v>
      </c>
      <c r="G612" s="8">
        <f>CHOOSE( CONTROL!$C$29, 14.7715, 14.7674) * CHOOSE( CONTROL!$C$12, $D$11, 100%, $F$11)</f>
        <v>14.7715</v>
      </c>
      <c r="H612" s="4">
        <f>CHOOSE( CONTROL!$C$29, 15.7013, 15.6971) * CHOOSE(CONTROL!$C$12, $D$11, 100%, $F$11)</f>
        <v>15.7013</v>
      </c>
      <c r="I612" s="8">
        <f>CHOOSE( CONTROL!$C$29, 14.5923, 14.5882) * CHOOSE(CONTROL!$C$12, $D$11, 100%, $F$11)</f>
        <v>14.5923</v>
      </c>
      <c r="J612" s="4">
        <f>CHOOSE( CONTROL!$C$29, 14.5094, 14.5053) * CHOOSE(CONTROL!$C$12, $D$11, 100%, $F$11)</f>
        <v>14.509399999999999</v>
      </c>
      <c r="K612" s="4"/>
      <c r="L612" s="9">
        <v>29.520499999999998</v>
      </c>
      <c r="M612" s="9">
        <v>12.063700000000001</v>
      </c>
      <c r="N612" s="9">
        <v>4.9444999999999997</v>
      </c>
      <c r="O612" s="9">
        <v>0.37459999999999999</v>
      </c>
      <c r="P612" s="9">
        <v>1.2192000000000001</v>
      </c>
      <c r="Q612" s="9">
        <v>19.688099999999999</v>
      </c>
      <c r="R612" s="9"/>
      <c r="S612" s="11"/>
    </row>
    <row r="613" spans="1:19" ht="15.75">
      <c r="A613" s="13">
        <v>60540</v>
      </c>
      <c r="B613" s="8">
        <f>CHOOSE( CONTROL!$C$29, 14.8302, 14.826) * CHOOSE(CONTROL!$C$12, $D$11, 100%, $F$11)</f>
        <v>14.8302</v>
      </c>
      <c r="C613" s="8">
        <f>CHOOSE( CONTROL!$C$29, 14.8406, 14.8364) * CHOOSE(CONTROL!$C$12, $D$11, 100%, $F$11)</f>
        <v>14.8406</v>
      </c>
      <c r="D613" s="8">
        <f>CHOOSE( CONTROL!$C$29, 14.8632, 14.859) * CHOOSE( CONTROL!$C$12, $D$11, 100%, $F$11)</f>
        <v>14.863200000000001</v>
      </c>
      <c r="E613" s="12">
        <f>CHOOSE( CONTROL!$C$29, 14.8534, 14.8492) * CHOOSE( CONTROL!$C$12, $D$11, 100%, $F$11)</f>
        <v>14.853400000000001</v>
      </c>
      <c r="F613" s="4">
        <f>CHOOSE( CONTROL!$C$29, 15.8688, 15.8645) * CHOOSE(CONTROL!$C$12, $D$11, 100%, $F$11)</f>
        <v>15.8688</v>
      </c>
      <c r="G613" s="8">
        <f>CHOOSE( CONTROL!$C$29, 14.4621, 14.458) * CHOOSE( CONTROL!$C$12, $D$11, 100%, $F$11)</f>
        <v>14.4621</v>
      </c>
      <c r="H613" s="4">
        <f>CHOOSE( CONTROL!$C$29, 15.3922, 15.388) * CHOOSE(CONTROL!$C$12, $D$11, 100%, $F$11)</f>
        <v>15.392200000000001</v>
      </c>
      <c r="I613" s="8">
        <f>CHOOSE( CONTROL!$C$29, 14.2866, 14.2825) * CHOOSE(CONTROL!$C$12, $D$11, 100%, $F$11)</f>
        <v>14.2866</v>
      </c>
      <c r="J613" s="4">
        <f>CHOOSE( CONTROL!$C$29, 14.2055, 14.2015) * CHOOSE(CONTROL!$C$12, $D$11, 100%, $F$11)</f>
        <v>14.205500000000001</v>
      </c>
      <c r="K613" s="4"/>
      <c r="L613" s="9">
        <v>28.568200000000001</v>
      </c>
      <c r="M613" s="9">
        <v>11.6745</v>
      </c>
      <c r="N613" s="9">
        <v>4.7850000000000001</v>
      </c>
      <c r="O613" s="9">
        <v>0.36249999999999999</v>
      </c>
      <c r="P613" s="9">
        <v>1.1798</v>
      </c>
      <c r="Q613" s="9">
        <v>19.053000000000001</v>
      </c>
      <c r="R613" s="9"/>
      <c r="S613" s="11"/>
    </row>
    <row r="614" spans="1:19" ht="15.75">
      <c r="A614" s="13">
        <v>60571</v>
      </c>
      <c r="B614" s="8">
        <f>15.4844 * CHOOSE(CONTROL!$C$12, $D$11, 100%, $F$11)</f>
        <v>15.484400000000001</v>
      </c>
      <c r="C614" s="8">
        <f>15.4948 * CHOOSE(CONTROL!$C$12, $D$11, 100%, $F$11)</f>
        <v>15.4948</v>
      </c>
      <c r="D614" s="8">
        <f>15.4992 * CHOOSE( CONTROL!$C$12, $D$11, 100%, $F$11)</f>
        <v>15.4992</v>
      </c>
      <c r="E614" s="12">
        <f>15.4966 * CHOOSE( CONTROL!$C$12, $D$11, 100%, $F$11)</f>
        <v>15.496600000000001</v>
      </c>
      <c r="F614" s="4">
        <f>16.4916 * CHOOSE(CONTROL!$C$12, $D$11, 100%, $F$11)</f>
        <v>16.491599999999998</v>
      </c>
      <c r="G614" s="8">
        <f>15.09 * CHOOSE( CONTROL!$C$12, $D$11, 100%, $F$11)</f>
        <v>15.09</v>
      </c>
      <c r="H614" s="4">
        <f>15.9993 * CHOOSE(CONTROL!$C$12, $D$11, 100%, $F$11)</f>
        <v>15.9993</v>
      </c>
      <c r="I614" s="8">
        <f>14.9103 * CHOOSE(CONTROL!$C$12, $D$11, 100%, $F$11)</f>
        <v>14.910299999999999</v>
      </c>
      <c r="J614" s="4">
        <f>14.8324 * CHOOSE(CONTROL!$C$12, $D$11, 100%, $F$11)</f>
        <v>14.8324</v>
      </c>
      <c r="K614" s="4"/>
      <c r="L614" s="9">
        <v>28.921800000000001</v>
      </c>
      <c r="M614" s="9">
        <v>12.063700000000001</v>
      </c>
      <c r="N614" s="9">
        <v>4.9444999999999997</v>
      </c>
      <c r="O614" s="9">
        <v>0.37459999999999999</v>
      </c>
      <c r="P614" s="9">
        <v>1.2192000000000001</v>
      </c>
      <c r="Q614" s="9">
        <v>19.688099999999999</v>
      </c>
      <c r="R614" s="9"/>
      <c r="S614" s="11"/>
    </row>
    <row r="615" spans="1:19" ht="15.75">
      <c r="A615" s="13">
        <v>60601</v>
      </c>
      <c r="B615" s="8">
        <f>16.6996 * CHOOSE(CONTROL!$C$12, $D$11, 100%, $F$11)</f>
        <v>16.6996</v>
      </c>
      <c r="C615" s="8">
        <f>16.7101 * CHOOSE(CONTROL!$C$12, $D$11, 100%, $F$11)</f>
        <v>16.710100000000001</v>
      </c>
      <c r="D615" s="8">
        <f>16.6925 * CHOOSE( CONTROL!$C$12, $D$11, 100%, $F$11)</f>
        <v>16.692499999999999</v>
      </c>
      <c r="E615" s="12">
        <f>16.6978 * CHOOSE( CONTROL!$C$12, $D$11, 100%, $F$11)</f>
        <v>16.697800000000001</v>
      </c>
      <c r="F615" s="4">
        <f>17.6938 * CHOOSE(CONTROL!$C$12, $D$11, 100%, $F$11)</f>
        <v>17.6938</v>
      </c>
      <c r="G615" s="8">
        <f>16.2871 * CHOOSE( CONTROL!$C$12, $D$11, 100%, $F$11)</f>
        <v>16.287099999999999</v>
      </c>
      <c r="H615" s="4">
        <f>17.1712 * CHOOSE(CONTROL!$C$12, $D$11, 100%, $F$11)</f>
        <v>17.171199999999999</v>
      </c>
      <c r="I615" s="8">
        <f>16.0988 * CHOOSE(CONTROL!$C$12, $D$11, 100%, $F$11)</f>
        <v>16.098800000000001</v>
      </c>
      <c r="J615" s="4">
        <f>15.9968 * CHOOSE(CONTROL!$C$12, $D$11, 100%, $F$11)</f>
        <v>15.9968</v>
      </c>
      <c r="K615" s="4"/>
      <c r="L615" s="9">
        <v>26.515499999999999</v>
      </c>
      <c r="M615" s="9">
        <v>11.6745</v>
      </c>
      <c r="N615" s="9">
        <v>4.7850000000000001</v>
      </c>
      <c r="O615" s="9">
        <v>0.36249999999999999</v>
      </c>
      <c r="P615" s="9">
        <v>1.2522</v>
      </c>
      <c r="Q615" s="9">
        <v>19.053000000000001</v>
      </c>
      <c r="R615" s="9"/>
      <c r="S615" s="11"/>
    </row>
    <row r="616" spans="1:19" ht="15.75">
      <c r="A616" s="13">
        <v>60632</v>
      </c>
      <c r="B616" s="8">
        <f>16.6693 * CHOOSE(CONTROL!$C$12, $D$11, 100%, $F$11)</f>
        <v>16.6693</v>
      </c>
      <c r="C616" s="8">
        <f>16.6797 * CHOOSE(CONTROL!$C$12, $D$11, 100%, $F$11)</f>
        <v>16.6797</v>
      </c>
      <c r="D616" s="8">
        <f>16.6641 * CHOOSE( CONTROL!$C$12, $D$11, 100%, $F$11)</f>
        <v>16.664100000000001</v>
      </c>
      <c r="E616" s="12">
        <f>16.6687 * CHOOSE( CONTROL!$C$12, $D$11, 100%, $F$11)</f>
        <v>16.668700000000001</v>
      </c>
      <c r="F616" s="4">
        <f>17.6635 * CHOOSE(CONTROL!$C$12, $D$11, 100%, $F$11)</f>
        <v>17.663499999999999</v>
      </c>
      <c r="G616" s="8">
        <f>16.259 * CHOOSE( CONTROL!$C$12, $D$11, 100%, $F$11)</f>
        <v>16.259</v>
      </c>
      <c r="H616" s="4">
        <f>17.1416 * CHOOSE(CONTROL!$C$12, $D$11, 100%, $F$11)</f>
        <v>17.1416</v>
      </c>
      <c r="I616" s="8">
        <f>16.077 * CHOOSE(CONTROL!$C$12, $D$11, 100%, $F$11)</f>
        <v>16.077000000000002</v>
      </c>
      <c r="J616" s="4">
        <f>15.9677 * CHOOSE(CONTROL!$C$12, $D$11, 100%, $F$11)</f>
        <v>15.967700000000001</v>
      </c>
      <c r="K616" s="4"/>
      <c r="L616" s="9">
        <v>27.3993</v>
      </c>
      <c r="M616" s="9">
        <v>12.063700000000001</v>
      </c>
      <c r="N616" s="9">
        <v>4.9444999999999997</v>
      </c>
      <c r="O616" s="9">
        <v>0.37459999999999999</v>
      </c>
      <c r="P616" s="9">
        <v>1.2939000000000001</v>
      </c>
      <c r="Q616" s="9">
        <v>19.688099999999999</v>
      </c>
      <c r="R616" s="9"/>
      <c r="S616" s="11"/>
    </row>
    <row r="617" spans="1:19" ht="15.75">
      <c r="A617" s="13">
        <v>60663</v>
      </c>
      <c r="B617" s="8">
        <f>17.3062 * CHOOSE(CONTROL!$C$12, $D$11, 100%, $F$11)</f>
        <v>17.3062</v>
      </c>
      <c r="C617" s="8">
        <f>17.3166 * CHOOSE(CONTROL!$C$12, $D$11, 100%, $F$11)</f>
        <v>17.316600000000001</v>
      </c>
      <c r="D617" s="8">
        <f>17.3143 * CHOOSE( CONTROL!$C$12, $D$11, 100%, $F$11)</f>
        <v>17.314299999999999</v>
      </c>
      <c r="E617" s="12">
        <f>17.314 * CHOOSE( CONTROL!$C$12, $D$11, 100%, $F$11)</f>
        <v>17.314</v>
      </c>
      <c r="F617" s="4">
        <f>18.3291 * CHOOSE(CONTROL!$C$12, $D$11, 100%, $F$11)</f>
        <v>18.3291</v>
      </c>
      <c r="G617" s="8">
        <f>16.897 * CHOOSE( CONTROL!$C$12, $D$11, 100%, $F$11)</f>
        <v>16.896999999999998</v>
      </c>
      <c r="H617" s="4">
        <f>17.7904 * CHOOSE(CONTROL!$C$12, $D$11, 100%, $F$11)</f>
        <v>17.790400000000002</v>
      </c>
      <c r="I617" s="8">
        <f>16.6949 * CHOOSE(CONTROL!$C$12, $D$11, 100%, $F$11)</f>
        <v>16.694900000000001</v>
      </c>
      <c r="J617" s="4">
        <f>16.578 * CHOOSE(CONTROL!$C$12, $D$11, 100%, $F$11)</f>
        <v>16.577999999999999</v>
      </c>
      <c r="K617" s="4"/>
      <c r="L617" s="9">
        <v>27.3993</v>
      </c>
      <c r="M617" s="9">
        <v>12.063700000000001</v>
      </c>
      <c r="N617" s="9">
        <v>4.9444999999999997</v>
      </c>
      <c r="O617" s="9">
        <v>0.37459999999999999</v>
      </c>
      <c r="P617" s="9">
        <v>1.2939000000000001</v>
      </c>
      <c r="Q617" s="9">
        <v>19.688099999999999</v>
      </c>
      <c r="R617" s="9"/>
      <c r="S617" s="11"/>
    </row>
    <row r="618" spans="1:19" ht="15.75">
      <c r="A618" s="13">
        <v>60691</v>
      </c>
      <c r="B618" s="8">
        <f>16.1877 * CHOOSE(CONTROL!$C$12, $D$11, 100%, $F$11)</f>
        <v>16.1877</v>
      </c>
      <c r="C618" s="8">
        <f>16.1981 * CHOOSE(CONTROL!$C$12, $D$11, 100%, $F$11)</f>
        <v>16.1981</v>
      </c>
      <c r="D618" s="8">
        <f>16.1981 * CHOOSE( CONTROL!$C$12, $D$11, 100%, $F$11)</f>
        <v>16.1981</v>
      </c>
      <c r="E618" s="12">
        <f>16.197 * CHOOSE( CONTROL!$C$12, $D$11, 100%, $F$11)</f>
        <v>16.196999999999999</v>
      </c>
      <c r="F618" s="4">
        <f>17.2028 * CHOOSE(CONTROL!$C$12, $D$11, 100%, $F$11)</f>
        <v>17.2028</v>
      </c>
      <c r="G618" s="8">
        <f>15.8066 * CHOOSE( CONTROL!$C$12, $D$11, 100%, $F$11)</f>
        <v>15.8066</v>
      </c>
      <c r="H618" s="4">
        <f>16.6925 * CHOOSE(CONTROL!$C$12, $D$11, 100%, $F$11)</f>
        <v>16.692499999999999</v>
      </c>
      <c r="I618" s="8">
        <f>15.6117 * CHOOSE(CONTROL!$C$12, $D$11, 100%, $F$11)</f>
        <v>15.611700000000001</v>
      </c>
      <c r="J618" s="4">
        <f>15.5063 * CHOOSE(CONTROL!$C$12, $D$11, 100%, $F$11)</f>
        <v>15.5063</v>
      </c>
      <c r="K618" s="4"/>
      <c r="L618" s="9">
        <v>24.747800000000002</v>
      </c>
      <c r="M618" s="9">
        <v>10.8962</v>
      </c>
      <c r="N618" s="9">
        <v>4.4660000000000002</v>
      </c>
      <c r="O618" s="9">
        <v>0.33829999999999999</v>
      </c>
      <c r="P618" s="9">
        <v>1.1687000000000001</v>
      </c>
      <c r="Q618" s="9">
        <v>17.782800000000002</v>
      </c>
      <c r="R618" s="9"/>
      <c r="S618" s="11"/>
    </row>
    <row r="619" spans="1:19" ht="15.75">
      <c r="A619" s="13">
        <v>60722</v>
      </c>
      <c r="B619" s="8">
        <f>15.8432 * CHOOSE(CONTROL!$C$12, $D$11, 100%, $F$11)</f>
        <v>15.8432</v>
      </c>
      <c r="C619" s="8">
        <f>15.8536 * CHOOSE(CONTROL!$C$12, $D$11, 100%, $F$11)</f>
        <v>15.8536</v>
      </c>
      <c r="D619" s="8">
        <f>15.8335 * CHOOSE( CONTROL!$C$12, $D$11, 100%, $F$11)</f>
        <v>15.833500000000001</v>
      </c>
      <c r="E619" s="12">
        <f>15.8397 * CHOOSE( CONTROL!$C$12, $D$11, 100%, $F$11)</f>
        <v>15.839700000000001</v>
      </c>
      <c r="F619" s="4">
        <f>16.8421 * CHOOSE(CONTROL!$C$12, $D$11, 100%, $F$11)</f>
        <v>16.842099999999999</v>
      </c>
      <c r="G619" s="8">
        <f>15.4503 * CHOOSE( CONTROL!$C$12, $D$11, 100%, $F$11)</f>
        <v>15.4503</v>
      </c>
      <c r="H619" s="4">
        <f>16.3409 * CHOOSE(CONTROL!$C$12, $D$11, 100%, $F$11)</f>
        <v>16.340900000000001</v>
      </c>
      <c r="I619" s="8">
        <f>15.2419 * CHOOSE(CONTROL!$C$12, $D$11, 100%, $F$11)</f>
        <v>15.241899999999999</v>
      </c>
      <c r="J619" s="4">
        <f>15.1762 * CHOOSE(CONTROL!$C$12, $D$11, 100%, $F$11)</f>
        <v>15.1762</v>
      </c>
      <c r="K619" s="4"/>
      <c r="L619" s="9">
        <v>27.3993</v>
      </c>
      <c r="M619" s="9">
        <v>12.063700000000001</v>
      </c>
      <c r="N619" s="9">
        <v>4.9444999999999997</v>
      </c>
      <c r="O619" s="9">
        <v>0.37459999999999999</v>
      </c>
      <c r="P619" s="9">
        <v>1.2939000000000001</v>
      </c>
      <c r="Q619" s="9">
        <v>19.688099999999999</v>
      </c>
      <c r="R619" s="9"/>
      <c r="S619" s="11"/>
    </row>
    <row r="620" spans="1:19" ht="15.75">
      <c r="A620" s="13">
        <v>60752</v>
      </c>
      <c r="B620" s="8">
        <f>16.0839 * CHOOSE(CONTROL!$C$12, $D$11, 100%, $F$11)</f>
        <v>16.0839</v>
      </c>
      <c r="C620" s="8">
        <f>16.0943 * CHOOSE(CONTROL!$C$12, $D$11, 100%, $F$11)</f>
        <v>16.0943</v>
      </c>
      <c r="D620" s="8">
        <f>16.0975 * CHOOSE( CONTROL!$C$12, $D$11, 100%, $F$11)</f>
        <v>16.0975</v>
      </c>
      <c r="E620" s="12">
        <f>16.0953 * CHOOSE( CONTROL!$C$12, $D$11, 100%, $F$11)</f>
        <v>16.095300000000002</v>
      </c>
      <c r="F620" s="4">
        <f>17.0912 * CHOOSE(CONTROL!$C$12, $D$11, 100%, $F$11)</f>
        <v>17.091200000000001</v>
      </c>
      <c r="G620" s="8">
        <f>15.6729 * CHOOSE( CONTROL!$C$12, $D$11, 100%, $F$11)</f>
        <v>15.6729</v>
      </c>
      <c r="H620" s="4">
        <f>16.5837 * CHOOSE(CONTROL!$C$12, $D$11, 100%, $F$11)</f>
        <v>16.5837</v>
      </c>
      <c r="I620" s="8">
        <f>15.4628 * CHOOSE(CONTROL!$C$12, $D$11, 100%, $F$11)</f>
        <v>15.4628</v>
      </c>
      <c r="J620" s="4">
        <f>15.4068 * CHOOSE(CONTROL!$C$12, $D$11, 100%, $F$11)</f>
        <v>15.4068</v>
      </c>
      <c r="K620" s="4"/>
      <c r="L620" s="9">
        <v>27.988800000000001</v>
      </c>
      <c r="M620" s="9">
        <v>11.6745</v>
      </c>
      <c r="N620" s="9">
        <v>4.7850000000000001</v>
      </c>
      <c r="O620" s="9">
        <v>0.36249999999999999</v>
      </c>
      <c r="P620" s="9">
        <v>1.1798</v>
      </c>
      <c r="Q620" s="9">
        <v>19.053000000000001</v>
      </c>
      <c r="R620" s="9"/>
      <c r="S620" s="11"/>
    </row>
    <row r="621" spans="1:19" ht="15.75">
      <c r="A621" s="13">
        <v>60783</v>
      </c>
      <c r="B621" s="8">
        <f>CHOOSE( CONTROL!$C$29, 16.5166, 16.5123) * CHOOSE(CONTROL!$C$12, $D$11, 100%, $F$11)</f>
        <v>16.5166</v>
      </c>
      <c r="C621" s="8">
        <f>CHOOSE( CONTROL!$C$29, 16.527, 16.5228) * CHOOSE(CONTROL!$C$12, $D$11, 100%, $F$11)</f>
        <v>16.527000000000001</v>
      </c>
      <c r="D621" s="8">
        <f>CHOOSE( CONTROL!$C$29, 16.5049, 16.5007) * CHOOSE( CONTROL!$C$12, $D$11, 100%, $F$11)</f>
        <v>16.504899999999999</v>
      </c>
      <c r="E621" s="12">
        <f>CHOOSE( CONTROL!$C$29, 16.5113, 16.5071) * CHOOSE( CONTROL!$C$12, $D$11, 100%, $F$11)</f>
        <v>16.511299999999999</v>
      </c>
      <c r="F621" s="4">
        <f>CHOOSE( CONTROL!$C$29, 17.4915, 17.4872) * CHOOSE(CONTROL!$C$12, $D$11, 100%, $F$11)</f>
        <v>17.491499999999998</v>
      </c>
      <c r="G621" s="8">
        <f>CHOOSE( CONTROL!$C$29, 16.0759, 16.0717) * CHOOSE( CONTROL!$C$12, $D$11, 100%, $F$11)</f>
        <v>16.075900000000001</v>
      </c>
      <c r="H621" s="4">
        <f>CHOOSE( CONTROL!$C$29, 16.974, 16.9698) * CHOOSE(CONTROL!$C$12, $D$11, 100%, $F$11)</f>
        <v>16.974</v>
      </c>
      <c r="I621" s="8">
        <f>CHOOSE( CONTROL!$C$29, 15.856, 15.852) * CHOOSE(CONTROL!$C$12, $D$11, 100%, $F$11)</f>
        <v>15.856</v>
      </c>
      <c r="J621" s="4">
        <f>CHOOSE( CONTROL!$C$29, 15.8214, 15.8174) * CHOOSE(CONTROL!$C$12, $D$11, 100%, $F$11)</f>
        <v>15.821400000000001</v>
      </c>
      <c r="K621" s="4"/>
      <c r="L621" s="9">
        <v>29.520499999999998</v>
      </c>
      <c r="M621" s="9">
        <v>12.063700000000001</v>
      </c>
      <c r="N621" s="9">
        <v>4.9444999999999997</v>
      </c>
      <c r="O621" s="9">
        <v>0.37459999999999999</v>
      </c>
      <c r="P621" s="9">
        <v>1.2192000000000001</v>
      </c>
      <c r="Q621" s="9">
        <v>19.688099999999999</v>
      </c>
      <c r="R621" s="9"/>
      <c r="S621" s="11"/>
    </row>
    <row r="622" spans="1:19" ht="15.75">
      <c r="A622" s="13">
        <v>60813</v>
      </c>
      <c r="B622" s="8">
        <f>CHOOSE( CONTROL!$C$29, 16.2512, 16.2469) * CHOOSE(CONTROL!$C$12, $D$11, 100%, $F$11)</f>
        <v>16.251200000000001</v>
      </c>
      <c r="C622" s="8">
        <f>CHOOSE( CONTROL!$C$29, 16.2616, 16.2574) * CHOOSE(CONTROL!$C$12, $D$11, 100%, $F$11)</f>
        <v>16.261600000000001</v>
      </c>
      <c r="D622" s="8">
        <f>CHOOSE( CONTROL!$C$29, 16.2339, 16.2297) * CHOOSE( CONTROL!$C$12, $D$11, 100%, $F$11)</f>
        <v>16.233899999999998</v>
      </c>
      <c r="E622" s="12">
        <f>CHOOSE( CONTROL!$C$29, 16.2424, 16.2381) * CHOOSE( CONTROL!$C$12, $D$11, 100%, $F$11)</f>
        <v>16.2424</v>
      </c>
      <c r="F622" s="4">
        <f>CHOOSE( CONTROL!$C$29, 17.2156, 17.2114) * CHOOSE(CONTROL!$C$12, $D$11, 100%, $F$11)</f>
        <v>17.215599999999998</v>
      </c>
      <c r="G622" s="8">
        <f>CHOOSE( CONTROL!$C$29, 15.8159, 15.8117) * CHOOSE( CONTROL!$C$12, $D$11, 100%, $F$11)</f>
        <v>15.815899999999999</v>
      </c>
      <c r="H622" s="4">
        <f>CHOOSE( CONTROL!$C$29, 16.7051, 16.7009) * CHOOSE(CONTROL!$C$12, $D$11, 100%, $F$11)</f>
        <v>16.705100000000002</v>
      </c>
      <c r="I622" s="8">
        <f>CHOOSE( CONTROL!$C$29, 15.6038, 15.5997) * CHOOSE(CONTROL!$C$12, $D$11, 100%, $F$11)</f>
        <v>15.6038</v>
      </c>
      <c r="J622" s="4">
        <f>CHOOSE( CONTROL!$C$29, 15.5671, 15.5631) * CHOOSE(CONTROL!$C$12, $D$11, 100%, $F$11)</f>
        <v>15.5671</v>
      </c>
      <c r="K622" s="4"/>
      <c r="L622" s="9">
        <v>28.568200000000001</v>
      </c>
      <c r="M622" s="9">
        <v>11.6745</v>
      </c>
      <c r="N622" s="9">
        <v>4.7850000000000001</v>
      </c>
      <c r="O622" s="9">
        <v>0.36249999999999999</v>
      </c>
      <c r="P622" s="9">
        <v>1.1798</v>
      </c>
      <c r="Q622" s="9">
        <v>19.053000000000001</v>
      </c>
      <c r="R622" s="9"/>
      <c r="S622" s="11"/>
    </row>
    <row r="623" spans="1:19" ht="15.75">
      <c r="A623" s="13">
        <v>60844</v>
      </c>
      <c r="B623" s="8">
        <f>CHOOSE( CONTROL!$C$29, 16.9501, 16.9458) * CHOOSE(CONTROL!$C$12, $D$11, 100%, $F$11)</f>
        <v>16.950099999999999</v>
      </c>
      <c r="C623" s="8">
        <f>CHOOSE( CONTROL!$C$29, 16.9605, 16.9563) * CHOOSE(CONTROL!$C$12, $D$11, 100%, $F$11)</f>
        <v>16.9605</v>
      </c>
      <c r="D623" s="8">
        <f>CHOOSE( CONTROL!$C$29, 16.9666, 16.9624) * CHOOSE( CONTROL!$C$12, $D$11, 100%, $F$11)</f>
        <v>16.9666</v>
      </c>
      <c r="E623" s="12">
        <f>CHOOSE( CONTROL!$C$29, 16.9628, 16.9586) * CHOOSE( CONTROL!$C$12, $D$11, 100%, $F$11)</f>
        <v>16.962800000000001</v>
      </c>
      <c r="F623" s="4">
        <f>CHOOSE( CONTROL!$C$29, 17.9599, 17.9557) * CHOOSE(CONTROL!$C$12, $D$11, 100%, $F$11)</f>
        <v>17.959900000000001</v>
      </c>
      <c r="G623" s="8">
        <f>CHOOSE( CONTROL!$C$29, 16.5232, 16.5191) * CHOOSE( CONTROL!$C$12, $D$11, 100%, $F$11)</f>
        <v>16.523199999999999</v>
      </c>
      <c r="H623" s="4">
        <f>CHOOSE( CONTROL!$C$29, 17.4306, 17.4265) * CHOOSE(CONTROL!$C$12, $D$11, 100%, $F$11)</f>
        <v>17.430599999999998</v>
      </c>
      <c r="I623" s="8">
        <f>CHOOSE( CONTROL!$C$29, 16.3291, 16.325) * CHOOSE(CONTROL!$C$12, $D$11, 100%, $F$11)</f>
        <v>16.3291</v>
      </c>
      <c r="J623" s="4">
        <f>CHOOSE( CONTROL!$C$29, 16.2368, 16.2327) * CHOOSE(CONTROL!$C$12, $D$11, 100%, $F$11)</f>
        <v>16.236799999999999</v>
      </c>
      <c r="K623" s="4"/>
      <c r="L623" s="9">
        <v>29.520499999999998</v>
      </c>
      <c r="M623" s="9">
        <v>12.063700000000001</v>
      </c>
      <c r="N623" s="9">
        <v>4.9444999999999997</v>
      </c>
      <c r="O623" s="9">
        <v>0.37459999999999999</v>
      </c>
      <c r="P623" s="9">
        <v>1.2192000000000001</v>
      </c>
      <c r="Q623" s="9">
        <v>19.688099999999999</v>
      </c>
      <c r="R623" s="9"/>
      <c r="S623" s="11"/>
    </row>
    <row r="624" spans="1:19" ht="15.75">
      <c r="A624" s="13">
        <v>60875</v>
      </c>
      <c r="B624" s="8">
        <f>CHOOSE( CONTROL!$C$29, 15.6424, 15.6381) * CHOOSE(CONTROL!$C$12, $D$11, 100%, $F$11)</f>
        <v>15.6424</v>
      </c>
      <c r="C624" s="8">
        <f>CHOOSE( CONTROL!$C$29, 15.6528, 15.6486) * CHOOSE(CONTROL!$C$12, $D$11, 100%, $F$11)</f>
        <v>15.652799999999999</v>
      </c>
      <c r="D624" s="8">
        <f>CHOOSE( CONTROL!$C$29, 15.6754, 15.6712) * CHOOSE( CONTROL!$C$12, $D$11, 100%, $F$11)</f>
        <v>15.6754</v>
      </c>
      <c r="E624" s="12">
        <f>CHOOSE( CONTROL!$C$29, 15.6656, 15.6614) * CHOOSE( CONTROL!$C$12, $D$11, 100%, $F$11)</f>
        <v>15.6656</v>
      </c>
      <c r="F624" s="4">
        <f>CHOOSE( CONTROL!$C$29, 16.6809, 16.6767) * CHOOSE(CONTROL!$C$12, $D$11, 100%, $F$11)</f>
        <v>16.680900000000001</v>
      </c>
      <c r="G624" s="8">
        <f>CHOOSE( CONTROL!$C$29, 15.2541, 15.2499) * CHOOSE( CONTROL!$C$12, $D$11, 100%, $F$11)</f>
        <v>15.254099999999999</v>
      </c>
      <c r="H624" s="4">
        <f>CHOOSE( CONTROL!$C$29, 16.1838, 16.1797) * CHOOSE(CONTROL!$C$12, $D$11, 100%, $F$11)</f>
        <v>16.183800000000002</v>
      </c>
      <c r="I624" s="8">
        <f>CHOOSE( CONTROL!$C$29, 15.0669, 15.0628) * CHOOSE(CONTROL!$C$12, $D$11, 100%, $F$11)</f>
        <v>15.0669</v>
      </c>
      <c r="J624" s="4">
        <f>CHOOSE( CONTROL!$C$29, 14.9838, 14.9797) * CHOOSE(CONTROL!$C$12, $D$11, 100%, $F$11)</f>
        <v>14.9838</v>
      </c>
      <c r="K624" s="4"/>
      <c r="L624" s="9">
        <v>29.520499999999998</v>
      </c>
      <c r="M624" s="9">
        <v>12.063700000000001</v>
      </c>
      <c r="N624" s="9">
        <v>4.9444999999999997</v>
      </c>
      <c r="O624" s="9">
        <v>0.37459999999999999</v>
      </c>
      <c r="P624" s="9">
        <v>1.2192000000000001</v>
      </c>
      <c r="Q624" s="9">
        <v>19.688099999999999</v>
      </c>
      <c r="R624" s="9"/>
      <c r="S624" s="11"/>
    </row>
    <row r="625" spans="1:19" ht="15.75">
      <c r="A625" s="13">
        <v>60905</v>
      </c>
      <c r="B625" s="8">
        <f>CHOOSE( CONTROL!$C$29, 15.3149, 15.3107) * CHOOSE(CONTROL!$C$12, $D$11, 100%, $F$11)</f>
        <v>15.3149</v>
      </c>
      <c r="C625" s="8">
        <f>CHOOSE( CONTROL!$C$29, 15.3253, 15.3211) * CHOOSE(CONTROL!$C$12, $D$11, 100%, $F$11)</f>
        <v>15.3253</v>
      </c>
      <c r="D625" s="8">
        <f>CHOOSE( CONTROL!$C$29, 15.3479, 15.3437) * CHOOSE( CONTROL!$C$12, $D$11, 100%, $F$11)</f>
        <v>15.347899999999999</v>
      </c>
      <c r="E625" s="12">
        <f>CHOOSE( CONTROL!$C$29, 15.3381, 15.3339) * CHOOSE( CONTROL!$C$12, $D$11, 100%, $F$11)</f>
        <v>15.338100000000001</v>
      </c>
      <c r="F625" s="4">
        <f>CHOOSE( CONTROL!$C$29, 16.3535, 16.3492) * CHOOSE(CONTROL!$C$12, $D$11, 100%, $F$11)</f>
        <v>16.3535</v>
      </c>
      <c r="G625" s="8">
        <f>CHOOSE( CONTROL!$C$29, 14.9346, 14.9304) * CHOOSE( CONTROL!$C$12, $D$11, 100%, $F$11)</f>
        <v>14.9346</v>
      </c>
      <c r="H625" s="4">
        <f>CHOOSE( CONTROL!$C$29, 15.8646, 15.8605) * CHOOSE(CONTROL!$C$12, $D$11, 100%, $F$11)</f>
        <v>15.864599999999999</v>
      </c>
      <c r="I625" s="8">
        <f>CHOOSE( CONTROL!$C$29, 14.7512, 14.7472) * CHOOSE(CONTROL!$C$12, $D$11, 100%, $F$11)</f>
        <v>14.751200000000001</v>
      </c>
      <c r="J625" s="4">
        <f>CHOOSE( CONTROL!$C$29, 14.67, 14.6659) * CHOOSE(CONTROL!$C$12, $D$11, 100%, $F$11)</f>
        <v>14.67</v>
      </c>
      <c r="K625" s="4"/>
      <c r="L625" s="9">
        <v>28.568200000000001</v>
      </c>
      <c r="M625" s="9">
        <v>11.6745</v>
      </c>
      <c r="N625" s="9">
        <v>4.7850000000000001</v>
      </c>
      <c r="O625" s="9">
        <v>0.36249999999999999</v>
      </c>
      <c r="P625" s="9">
        <v>1.1798</v>
      </c>
      <c r="Q625" s="9">
        <v>19.053000000000001</v>
      </c>
      <c r="R625" s="9"/>
      <c r="S625" s="11"/>
    </row>
    <row r="626" spans="1:19" ht="15.75">
      <c r="A626" s="13">
        <v>60936</v>
      </c>
      <c r="B626" s="8">
        <f>15.9906 * CHOOSE(CONTROL!$C$12, $D$11, 100%, $F$11)</f>
        <v>15.990600000000001</v>
      </c>
      <c r="C626" s="8">
        <f>16.001 * CHOOSE(CONTROL!$C$12, $D$11, 100%, $F$11)</f>
        <v>16.001000000000001</v>
      </c>
      <c r="D626" s="8">
        <f>16.0055 * CHOOSE( CONTROL!$C$12, $D$11, 100%, $F$11)</f>
        <v>16.005500000000001</v>
      </c>
      <c r="E626" s="12">
        <f>16.0029 * CHOOSE( CONTROL!$C$12, $D$11, 100%, $F$11)</f>
        <v>16.0029</v>
      </c>
      <c r="F626" s="4">
        <f>16.9978 * CHOOSE(CONTROL!$C$12, $D$11, 100%, $F$11)</f>
        <v>16.997800000000002</v>
      </c>
      <c r="G626" s="8">
        <f>15.5835 * CHOOSE( CONTROL!$C$12, $D$11, 100%, $F$11)</f>
        <v>15.583500000000001</v>
      </c>
      <c r="H626" s="4">
        <f>16.4928 * CHOOSE(CONTROL!$C$12, $D$11, 100%, $F$11)</f>
        <v>16.492799999999999</v>
      </c>
      <c r="I626" s="8">
        <f>15.3956 * CHOOSE(CONTROL!$C$12, $D$11, 100%, $F$11)</f>
        <v>15.3956</v>
      </c>
      <c r="J626" s="4">
        <f>15.3174 * CHOOSE(CONTROL!$C$12, $D$11, 100%, $F$11)</f>
        <v>15.317399999999999</v>
      </c>
      <c r="K626" s="4"/>
      <c r="L626" s="9">
        <v>28.921800000000001</v>
      </c>
      <c r="M626" s="9">
        <v>12.063700000000001</v>
      </c>
      <c r="N626" s="9">
        <v>4.9444999999999997</v>
      </c>
      <c r="O626" s="9">
        <v>0.37459999999999999</v>
      </c>
      <c r="P626" s="9">
        <v>1.2192000000000001</v>
      </c>
      <c r="Q626" s="9">
        <v>19.688099999999999</v>
      </c>
      <c r="R626" s="9"/>
      <c r="S626" s="11"/>
    </row>
    <row r="627" spans="1:19" ht="15.75">
      <c r="A627" s="13">
        <v>60966</v>
      </c>
      <c r="B627" s="8">
        <f>17.2456 * CHOOSE(CONTROL!$C$12, $D$11, 100%, $F$11)</f>
        <v>17.2456</v>
      </c>
      <c r="C627" s="8">
        <f>17.256 * CHOOSE(CONTROL!$C$12, $D$11, 100%, $F$11)</f>
        <v>17.256</v>
      </c>
      <c r="D627" s="8">
        <f>17.2384 * CHOOSE( CONTROL!$C$12, $D$11, 100%, $F$11)</f>
        <v>17.238399999999999</v>
      </c>
      <c r="E627" s="12">
        <f>17.2437 * CHOOSE( CONTROL!$C$12, $D$11, 100%, $F$11)</f>
        <v>17.2437</v>
      </c>
      <c r="F627" s="4">
        <f>18.2398 * CHOOSE(CONTROL!$C$12, $D$11, 100%, $F$11)</f>
        <v>18.239799999999999</v>
      </c>
      <c r="G627" s="8">
        <f>16.8193 * CHOOSE( CONTROL!$C$12, $D$11, 100%, $F$11)</f>
        <v>16.819299999999998</v>
      </c>
      <c r="H627" s="4">
        <f>17.7034 * CHOOSE(CONTROL!$C$12, $D$11, 100%, $F$11)</f>
        <v>17.703399999999998</v>
      </c>
      <c r="I627" s="8">
        <f>16.6222 * CHOOSE(CONTROL!$C$12, $D$11, 100%, $F$11)</f>
        <v>16.622199999999999</v>
      </c>
      <c r="J627" s="4">
        <f>16.52 * CHOOSE(CONTROL!$C$12, $D$11, 100%, $F$11)</f>
        <v>16.52</v>
      </c>
      <c r="K627" s="4"/>
      <c r="L627" s="9">
        <v>26.515499999999999</v>
      </c>
      <c r="M627" s="9">
        <v>11.6745</v>
      </c>
      <c r="N627" s="9">
        <v>4.7850000000000001</v>
      </c>
      <c r="O627" s="9">
        <v>0.36249999999999999</v>
      </c>
      <c r="P627" s="9">
        <v>1.2522</v>
      </c>
      <c r="Q627" s="9">
        <v>19.053000000000001</v>
      </c>
      <c r="R627" s="9"/>
      <c r="S627" s="11"/>
    </row>
    <row r="628" spans="1:19" ht="15.75">
      <c r="A628" s="13">
        <v>60997</v>
      </c>
      <c r="B628" s="8">
        <f>17.2143 * CHOOSE(CONTROL!$C$12, $D$11, 100%, $F$11)</f>
        <v>17.214300000000001</v>
      </c>
      <c r="C628" s="8">
        <f>17.2247 * CHOOSE(CONTROL!$C$12, $D$11, 100%, $F$11)</f>
        <v>17.224699999999999</v>
      </c>
      <c r="D628" s="8">
        <f>17.2091 * CHOOSE( CONTROL!$C$12, $D$11, 100%, $F$11)</f>
        <v>17.209099999999999</v>
      </c>
      <c r="E628" s="12">
        <f>17.2137 * CHOOSE( CONTROL!$C$12, $D$11, 100%, $F$11)</f>
        <v>17.213699999999999</v>
      </c>
      <c r="F628" s="4">
        <f>18.2085 * CHOOSE(CONTROL!$C$12, $D$11, 100%, $F$11)</f>
        <v>18.208500000000001</v>
      </c>
      <c r="G628" s="8">
        <f>16.7903 * CHOOSE( CONTROL!$C$12, $D$11, 100%, $F$11)</f>
        <v>16.790299999999998</v>
      </c>
      <c r="H628" s="4">
        <f>17.6728 * CHOOSE(CONTROL!$C$12, $D$11, 100%, $F$11)</f>
        <v>17.672799999999999</v>
      </c>
      <c r="I628" s="8">
        <f>16.5994 * CHOOSE(CONTROL!$C$12, $D$11, 100%, $F$11)</f>
        <v>16.599399999999999</v>
      </c>
      <c r="J628" s="4">
        <f>16.4899 * CHOOSE(CONTROL!$C$12, $D$11, 100%, $F$11)</f>
        <v>16.489899999999999</v>
      </c>
      <c r="K628" s="4"/>
      <c r="L628" s="9">
        <v>27.3993</v>
      </c>
      <c r="M628" s="9">
        <v>12.063700000000001</v>
      </c>
      <c r="N628" s="9">
        <v>4.9444999999999997</v>
      </c>
      <c r="O628" s="9">
        <v>0.37459999999999999</v>
      </c>
      <c r="P628" s="9">
        <v>1.2939000000000001</v>
      </c>
      <c r="Q628" s="9">
        <v>19.688099999999999</v>
      </c>
      <c r="R628" s="9"/>
      <c r="S628" s="11"/>
    </row>
    <row r="629" spans="1:19" ht="15.75">
      <c r="A629" s="13">
        <v>61028</v>
      </c>
      <c r="B629" s="8">
        <f>17.872 * CHOOSE(CONTROL!$C$12, $D$11, 100%, $F$11)</f>
        <v>17.872</v>
      </c>
      <c r="C629" s="8">
        <f>17.8824 * CHOOSE(CONTROL!$C$12, $D$11, 100%, $F$11)</f>
        <v>17.882400000000001</v>
      </c>
      <c r="D629" s="8">
        <f>17.8801 * CHOOSE( CONTROL!$C$12, $D$11, 100%, $F$11)</f>
        <v>17.880099999999999</v>
      </c>
      <c r="E629" s="12">
        <f>17.8798 * CHOOSE( CONTROL!$C$12, $D$11, 100%, $F$11)</f>
        <v>17.879799999999999</v>
      </c>
      <c r="F629" s="4">
        <f>18.8949 * CHOOSE(CONTROL!$C$12, $D$11, 100%, $F$11)</f>
        <v>18.8949</v>
      </c>
      <c r="G629" s="8">
        <f>17.4486 * CHOOSE( CONTROL!$C$12, $D$11, 100%, $F$11)</f>
        <v>17.448599999999999</v>
      </c>
      <c r="H629" s="4">
        <f>18.342 * CHOOSE(CONTROL!$C$12, $D$11, 100%, $F$11)</f>
        <v>18.341999999999999</v>
      </c>
      <c r="I629" s="8">
        <f>17.2373 * CHOOSE(CONTROL!$C$12, $D$11, 100%, $F$11)</f>
        <v>17.237300000000001</v>
      </c>
      <c r="J629" s="4">
        <f>17.1202 * CHOOSE(CONTROL!$C$12, $D$11, 100%, $F$11)</f>
        <v>17.120200000000001</v>
      </c>
      <c r="K629" s="4"/>
      <c r="L629" s="9">
        <v>27.3993</v>
      </c>
      <c r="M629" s="9">
        <v>12.063700000000001</v>
      </c>
      <c r="N629" s="9">
        <v>4.9444999999999997</v>
      </c>
      <c r="O629" s="9">
        <v>0.37459999999999999</v>
      </c>
      <c r="P629" s="9">
        <v>1.2939000000000001</v>
      </c>
      <c r="Q629" s="9">
        <v>19.688099999999999</v>
      </c>
      <c r="R629" s="9"/>
      <c r="S629" s="11"/>
    </row>
    <row r="630" spans="1:19" ht="15.75">
      <c r="A630" s="13">
        <v>61056</v>
      </c>
      <c r="B630" s="8">
        <f>16.7169 * CHOOSE(CONTROL!$C$12, $D$11, 100%, $F$11)</f>
        <v>16.716899999999999</v>
      </c>
      <c r="C630" s="8">
        <f>16.7273 * CHOOSE(CONTROL!$C$12, $D$11, 100%, $F$11)</f>
        <v>16.7273</v>
      </c>
      <c r="D630" s="8">
        <f>16.7273 * CHOOSE( CONTROL!$C$12, $D$11, 100%, $F$11)</f>
        <v>16.7273</v>
      </c>
      <c r="E630" s="12">
        <f>16.7262 * CHOOSE( CONTROL!$C$12, $D$11, 100%, $F$11)</f>
        <v>16.726199999999999</v>
      </c>
      <c r="F630" s="4">
        <f>17.732 * CHOOSE(CONTROL!$C$12, $D$11, 100%, $F$11)</f>
        <v>17.731999999999999</v>
      </c>
      <c r="G630" s="8">
        <f>16.3225 * CHOOSE( CONTROL!$C$12, $D$11, 100%, $F$11)</f>
        <v>16.322500000000002</v>
      </c>
      <c r="H630" s="4">
        <f>17.2084 * CHOOSE(CONTROL!$C$12, $D$11, 100%, $F$11)</f>
        <v>17.208400000000001</v>
      </c>
      <c r="I630" s="8">
        <f>16.119 * CHOOSE(CONTROL!$C$12, $D$11, 100%, $F$11)</f>
        <v>16.119</v>
      </c>
      <c r="J630" s="4">
        <f>16.0134 * CHOOSE(CONTROL!$C$12, $D$11, 100%, $F$11)</f>
        <v>16.013400000000001</v>
      </c>
      <c r="K630" s="4"/>
      <c r="L630" s="9">
        <v>24.747800000000002</v>
      </c>
      <c r="M630" s="9">
        <v>10.8962</v>
      </c>
      <c r="N630" s="9">
        <v>4.4660000000000002</v>
      </c>
      <c r="O630" s="9">
        <v>0.33829999999999999</v>
      </c>
      <c r="P630" s="9">
        <v>1.1687000000000001</v>
      </c>
      <c r="Q630" s="9">
        <v>17.782800000000002</v>
      </c>
      <c r="R630" s="9"/>
      <c r="S630" s="11"/>
    </row>
    <row r="631" spans="1:19" ht="15.75">
      <c r="A631" s="13">
        <v>61087</v>
      </c>
      <c r="B631" s="8">
        <f>16.3612 * CHOOSE(CONTROL!$C$12, $D$11, 100%, $F$11)</f>
        <v>16.3612</v>
      </c>
      <c r="C631" s="8">
        <f>16.3716 * CHOOSE(CONTROL!$C$12, $D$11, 100%, $F$11)</f>
        <v>16.371600000000001</v>
      </c>
      <c r="D631" s="8">
        <f>16.3514 * CHOOSE( CONTROL!$C$12, $D$11, 100%, $F$11)</f>
        <v>16.351400000000002</v>
      </c>
      <c r="E631" s="12">
        <f>16.3577 * CHOOSE( CONTROL!$C$12, $D$11, 100%, $F$11)</f>
        <v>16.357700000000001</v>
      </c>
      <c r="F631" s="4">
        <f>17.3601 * CHOOSE(CONTROL!$C$12, $D$11, 100%, $F$11)</f>
        <v>17.360099999999999</v>
      </c>
      <c r="G631" s="8">
        <f>15.9552 * CHOOSE( CONTROL!$C$12, $D$11, 100%, $F$11)</f>
        <v>15.9552</v>
      </c>
      <c r="H631" s="4">
        <f>16.8458 * CHOOSE(CONTROL!$C$12, $D$11, 100%, $F$11)</f>
        <v>16.845800000000001</v>
      </c>
      <c r="I631" s="8">
        <f>15.7385 * CHOOSE(CONTROL!$C$12, $D$11, 100%, $F$11)</f>
        <v>15.7385</v>
      </c>
      <c r="J631" s="4">
        <f>15.6725 * CHOOSE(CONTROL!$C$12, $D$11, 100%, $F$11)</f>
        <v>15.672499999999999</v>
      </c>
      <c r="K631" s="4"/>
      <c r="L631" s="9">
        <v>27.3993</v>
      </c>
      <c r="M631" s="9">
        <v>12.063700000000001</v>
      </c>
      <c r="N631" s="9">
        <v>4.9444999999999997</v>
      </c>
      <c r="O631" s="9">
        <v>0.37459999999999999</v>
      </c>
      <c r="P631" s="9">
        <v>1.2939000000000001</v>
      </c>
      <c r="Q631" s="9">
        <v>19.688099999999999</v>
      </c>
      <c r="R631" s="9"/>
      <c r="S631" s="11"/>
    </row>
    <row r="632" spans="1:19" ht="15.75">
      <c r="A632" s="13">
        <v>61117</v>
      </c>
      <c r="B632" s="8">
        <f>16.6097 * CHOOSE(CONTROL!$C$12, $D$11, 100%, $F$11)</f>
        <v>16.6097</v>
      </c>
      <c r="C632" s="8">
        <f>16.6202 * CHOOSE(CONTROL!$C$12, $D$11, 100%, $F$11)</f>
        <v>16.620200000000001</v>
      </c>
      <c r="D632" s="8">
        <f>16.6234 * CHOOSE( CONTROL!$C$12, $D$11, 100%, $F$11)</f>
        <v>16.6234</v>
      </c>
      <c r="E632" s="12">
        <f>16.6211 * CHOOSE( CONTROL!$C$12, $D$11, 100%, $F$11)</f>
        <v>16.621099999999998</v>
      </c>
      <c r="F632" s="4">
        <f>17.617 * CHOOSE(CONTROL!$C$12, $D$11, 100%, $F$11)</f>
        <v>17.617000000000001</v>
      </c>
      <c r="G632" s="8">
        <f>16.1854 * CHOOSE( CONTROL!$C$12, $D$11, 100%, $F$11)</f>
        <v>16.185400000000001</v>
      </c>
      <c r="H632" s="4">
        <f>17.0963 * CHOOSE(CONTROL!$C$12, $D$11, 100%, $F$11)</f>
        <v>17.096299999999999</v>
      </c>
      <c r="I632" s="8">
        <f>15.9669 * CHOOSE(CONTROL!$C$12, $D$11, 100%, $F$11)</f>
        <v>15.966900000000001</v>
      </c>
      <c r="J632" s="4">
        <f>15.9107 * CHOOSE(CONTROL!$C$12, $D$11, 100%, $F$11)</f>
        <v>15.9107</v>
      </c>
      <c r="K632" s="4"/>
      <c r="L632" s="9">
        <v>27.988800000000001</v>
      </c>
      <c r="M632" s="9">
        <v>11.6745</v>
      </c>
      <c r="N632" s="9">
        <v>4.7850000000000001</v>
      </c>
      <c r="O632" s="9">
        <v>0.36249999999999999</v>
      </c>
      <c r="P632" s="9">
        <v>1.1798</v>
      </c>
      <c r="Q632" s="9">
        <v>19.053000000000001</v>
      </c>
      <c r="R632" s="9"/>
      <c r="S632" s="11"/>
    </row>
    <row r="633" spans="1:19" ht="15.75">
      <c r="A633" s="13">
        <v>61148</v>
      </c>
      <c r="B633" s="8">
        <f>CHOOSE( CONTROL!$C$29, 17.0564, 17.0522) * CHOOSE(CONTROL!$C$12, $D$11, 100%, $F$11)</f>
        <v>17.0564</v>
      </c>
      <c r="C633" s="8">
        <f>CHOOSE( CONTROL!$C$29, 17.0669, 17.0626) * CHOOSE(CONTROL!$C$12, $D$11, 100%, $F$11)</f>
        <v>17.0669</v>
      </c>
      <c r="D633" s="8">
        <f>CHOOSE( CONTROL!$C$29, 17.0448, 17.0405) * CHOOSE( CONTROL!$C$12, $D$11, 100%, $F$11)</f>
        <v>17.044799999999999</v>
      </c>
      <c r="E633" s="12">
        <f>CHOOSE( CONTROL!$C$29, 17.0512, 17.0469) * CHOOSE( CONTROL!$C$12, $D$11, 100%, $F$11)</f>
        <v>17.051200000000001</v>
      </c>
      <c r="F633" s="4">
        <f>CHOOSE( CONTROL!$C$29, 18.0313, 18.0271) * CHOOSE(CONTROL!$C$12, $D$11, 100%, $F$11)</f>
        <v>18.031300000000002</v>
      </c>
      <c r="G633" s="8">
        <f>CHOOSE( CONTROL!$C$29, 16.6021, 16.598) * CHOOSE( CONTROL!$C$12, $D$11, 100%, $F$11)</f>
        <v>16.6021</v>
      </c>
      <c r="H633" s="4">
        <f>CHOOSE( CONTROL!$C$29, 17.5002, 17.496) * CHOOSE(CONTROL!$C$12, $D$11, 100%, $F$11)</f>
        <v>17.5002</v>
      </c>
      <c r="I633" s="8">
        <f>CHOOSE( CONTROL!$C$29, 16.3736, 16.3695) * CHOOSE(CONTROL!$C$12, $D$11, 100%, $F$11)</f>
        <v>16.3736</v>
      </c>
      <c r="J633" s="4">
        <f>CHOOSE( CONTROL!$C$29, 16.3387, 16.3347) * CHOOSE(CONTROL!$C$12, $D$11, 100%, $F$11)</f>
        <v>16.338699999999999</v>
      </c>
      <c r="K633" s="4"/>
      <c r="L633" s="9">
        <v>29.520499999999998</v>
      </c>
      <c r="M633" s="9">
        <v>12.063700000000001</v>
      </c>
      <c r="N633" s="9">
        <v>4.9444999999999997</v>
      </c>
      <c r="O633" s="9">
        <v>0.37459999999999999</v>
      </c>
      <c r="P633" s="9">
        <v>1.2192000000000001</v>
      </c>
      <c r="Q633" s="9">
        <v>19.688099999999999</v>
      </c>
      <c r="R633" s="9"/>
      <c r="S633" s="11"/>
    </row>
    <row r="634" spans="1:19" ht="15.75">
      <c r="A634" s="13">
        <v>61178</v>
      </c>
      <c r="B634" s="8">
        <f>CHOOSE( CONTROL!$C$29, 16.7824, 16.7781) * CHOOSE(CONTROL!$C$12, $D$11, 100%, $F$11)</f>
        <v>16.782399999999999</v>
      </c>
      <c r="C634" s="8">
        <f>CHOOSE( CONTROL!$C$29, 16.7928, 16.7886) * CHOOSE(CONTROL!$C$12, $D$11, 100%, $F$11)</f>
        <v>16.7928</v>
      </c>
      <c r="D634" s="8">
        <f>CHOOSE( CONTROL!$C$29, 16.7651, 16.7609) * CHOOSE( CONTROL!$C$12, $D$11, 100%, $F$11)</f>
        <v>16.7651</v>
      </c>
      <c r="E634" s="12">
        <f>CHOOSE( CONTROL!$C$29, 16.7736, 16.7693) * CHOOSE( CONTROL!$C$12, $D$11, 100%, $F$11)</f>
        <v>16.773599999999998</v>
      </c>
      <c r="F634" s="4">
        <f>CHOOSE( CONTROL!$C$29, 17.7468, 17.7426) * CHOOSE(CONTROL!$C$12, $D$11, 100%, $F$11)</f>
        <v>17.7468</v>
      </c>
      <c r="G634" s="8">
        <f>CHOOSE( CONTROL!$C$29, 16.3337, 16.3295) * CHOOSE( CONTROL!$C$12, $D$11, 100%, $F$11)</f>
        <v>16.3337</v>
      </c>
      <c r="H634" s="4">
        <f>CHOOSE( CONTROL!$C$29, 17.2228, 17.2187) * CHOOSE(CONTROL!$C$12, $D$11, 100%, $F$11)</f>
        <v>17.222799999999999</v>
      </c>
      <c r="I634" s="8">
        <f>CHOOSE( CONTROL!$C$29, 16.113, 16.1089) * CHOOSE(CONTROL!$C$12, $D$11, 100%, $F$11)</f>
        <v>16.113</v>
      </c>
      <c r="J634" s="4">
        <f>CHOOSE( CONTROL!$C$29, 16.0761, 16.072) * CHOOSE(CONTROL!$C$12, $D$11, 100%, $F$11)</f>
        <v>16.0761</v>
      </c>
      <c r="K634" s="4"/>
      <c r="L634" s="9">
        <v>28.568200000000001</v>
      </c>
      <c r="M634" s="9">
        <v>11.6745</v>
      </c>
      <c r="N634" s="9">
        <v>4.7850000000000001</v>
      </c>
      <c r="O634" s="9">
        <v>0.36249999999999999</v>
      </c>
      <c r="P634" s="9">
        <v>1.1798</v>
      </c>
      <c r="Q634" s="9">
        <v>19.053000000000001</v>
      </c>
      <c r="R634" s="9"/>
      <c r="S634" s="11"/>
    </row>
    <row r="635" spans="1:19" ht="15.75">
      <c r="A635" s="13">
        <v>61209</v>
      </c>
      <c r="B635" s="8">
        <f>CHOOSE( CONTROL!$C$29, 17.5041, 17.4999) * CHOOSE(CONTROL!$C$12, $D$11, 100%, $F$11)</f>
        <v>17.504100000000001</v>
      </c>
      <c r="C635" s="8">
        <f>CHOOSE( CONTROL!$C$29, 17.5145, 17.5103) * CHOOSE(CONTROL!$C$12, $D$11, 100%, $F$11)</f>
        <v>17.514500000000002</v>
      </c>
      <c r="D635" s="8">
        <f>CHOOSE( CONTROL!$C$29, 17.5207, 17.5164) * CHOOSE( CONTROL!$C$12, $D$11, 100%, $F$11)</f>
        <v>17.520700000000001</v>
      </c>
      <c r="E635" s="12">
        <f>CHOOSE( CONTROL!$C$29, 17.5169, 17.5126) * CHOOSE( CONTROL!$C$12, $D$11, 100%, $F$11)</f>
        <v>17.5169</v>
      </c>
      <c r="F635" s="4">
        <f>CHOOSE( CONTROL!$C$29, 18.514, 18.5097) * CHOOSE(CONTROL!$C$12, $D$11, 100%, $F$11)</f>
        <v>18.513999999999999</v>
      </c>
      <c r="G635" s="8">
        <f>CHOOSE( CONTROL!$C$29, 17.0632, 17.0591) * CHOOSE( CONTROL!$C$12, $D$11, 100%, $F$11)</f>
        <v>17.063199999999998</v>
      </c>
      <c r="H635" s="4">
        <f>CHOOSE( CONTROL!$C$29, 17.9706, 17.9665) * CHOOSE(CONTROL!$C$12, $D$11, 100%, $F$11)</f>
        <v>17.970600000000001</v>
      </c>
      <c r="I635" s="8">
        <f>CHOOSE( CONTROL!$C$29, 16.8602, 16.8562) * CHOOSE(CONTROL!$C$12, $D$11, 100%, $F$11)</f>
        <v>16.860199999999999</v>
      </c>
      <c r="J635" s="4">
        <f>CHOOSE( CONTROL!$C$29, 16.7677, 16.7636) * CHOOSE(CONTROL!$C$12, $D$11, 100%, $F$11)</f>
        <v>16.767700000000001</v>
      </c>
      <c r="K635" s="4"/>
      <c r="L635" s="9">
        <v>29.520499999999998</v>
      </c>
      <c r="M635" s="9">
        <v>12.063700000000001</v>
      </c>
      <c r="N635" s="9">
        <v>4.9444999999999997</v>
      </c>
      <c r="O635" s="9">
        <v>0.37459999999999999</v>
      </c>
      <c r="P635" s="9">
        <v>1.2192000000000001</v>
      </c>
      <c r="Q635" s="9">
        <v>19.688099999999999</v>
      </c>
      <c r="R635" s="9"/>
      <c r="S635" s="11"/>
    </row>
    <row r="636" spans="1:19" ht="15.75">
      <c r="A636" s="13">
        <v>61240</v>
      </c>
      <c r="B636" s="8">
        <f>CHOOSE( CONTROL!$C$29, 16.1536, 16.1494) * CHOOSE(CONTROL!$C$12, $D$11, 100%, $F$11)</f>
        <v>16.153600000000001</v>
      </c>
      <c r="C636" s="8">
        <f>CHOOSE( CONTROL!$C$29, 16.1641, 16.1598) * CHOOSE(CONTROL!$C$12, $D$11, 100%, $F$11)</f>
        <v>16.164100000000001</v>
      </c>
      <c r="D636" s="8">
        <f>CHOOSE( CONTROL!$C$29, 16.1867, 16.1824) * CHOOSE( CONTROL!$C$12, $D$11, 100%, $F$11)</f>
        <v>16.186699999999998</v>
      </c>
      <c r="E636" s="12">
        <f>CHOOSE( CONTROL!$C$29, 16.1769, 16.1726) * CHOOSE( CONTROL!$C$12, $D$11, 100%, $F$11)</f>
        <v>16.1769</v>
      </c>
      <c r="F636" s="4">
        <f>CHOOSE( CONTROL!$C$29, 17.1922, 17.188) * CHOOSE(CONTROL!$C$12, $D$11, 100%, $F$11)</f>
        <v>17.1922</v>
      </c>
      <c r="G636" s="8">
        <f>CHOOSE( CONTROL!$C$29, 15.7524, 15.7483) * CHOOSE( CONTROL!$C$12, $D$11, 100%, $F$11)</f>
        <v>15.7524</v>
      </c>
      <c r="H636" s="4">
        <f>CHOOSE( CONTROL!$C$29, 16.6822, 16.6781) * CHOOSE(CONTROL!$C$12, $D$11, 100%, $F$11)</f>
        <v>16.682200000000002</v>
      </c>
      <c r="I636" s="8">
        <f>CHOOSE( CONTROL!$C$29, 15.557, 15.5529) * CHOOSE(CONTROL!$C$12, $D$11, 100%, $F$11)</f>
        <v>15.557</v>
      </c>
      <c r="J636" s="4">
        <f>CHOOSE( CONTROL!$C$29, 15.4737, 15.4696) * CHOOSE(CONTROL!$C$12, $D$11, 100%, $F$11)</f>
        <v>15.473699999999999</v>
      </c>
      <c r="K636" s="4"/>
      <c r="L636" s="9">
        <v>29.520499999999998</v>
      </c>
      <c r="M636" s="9">
        <v>12.063700000000001</v>
      </c>
      <c r="N636" s="9">
        <v>4.9444999999999997</v>
      </c>
      <c r="O636" s="9">
        <v>0.37459999999999999</v>
      </c>
      <c r="P636" s="9">
        <v>1.2192000000000001</v>
      </c>
      <c r="Q636" s="9">
        <v>19.688099999999999</v>
      </c>
      <c r="R636" s="9"/>
      <c r="S636" s="11"/>
    </row>
    <row r="637" spans="1:19" ht="15.75">
      <c r="A637" s="13">
        <v>61270</v>
      </c>
      <c r="B637" s="8">
        <f>CHOOSE( CONTROL!$C$29, 15.8155, 15.8112) * CHOOSE(CONTROL!$C$12, $D$11, 100%, $F$11)</f>
        <v>15.8155</v>
      </c>
      <c r="C637" s="8">
        <f>CHOOSE( CONTROL!$C$29, 15.8259, 15.8216) * CHOOSE(CONTROL!$C$12, $D$11, 100%, $F$11)</f>
        <v>15.825900000000001</v>
      </c>
      <c r="D637" s="8">
        <f>CHOOSE( CONTROL!$C$29, 15.8485, 15.8442) * CHOOSE( CONTROL!$C$12, $D$11, 100%, $F$11)</f>
        <v>15.8485</v>
      </c>
      <c r="E637" s="12">
        <f>CHOOSE( CONTROL!$C$29, 15.8387, 15.8344) * CHOOSE( CONTROL!$C$12, $D$11, 100%, $F$11)</f>
        <v>15.838699999999999</v>
      </c>
      <c r="F637" s="4">
        <f>CHOOSE( CONTROL!$C$29, 16.854, 16.8498) * CHOOSE(CONTROL!$C$12, $D$11, 100%, $F$11)</f>
        <v>16.853999999999999</v>
      </c>
      <c r="G637" s="8">
        <f>CHOOSE( CONTROL!$C$29, 15.4225, 15.4184) * CHOOSE( CONTROL!$C$12, $D$11, 100%, $F$11)</f>
        <v>15.422499999999999</v>
      </c>
      <c r="H637" s="4">
        <f>CHOOSE( CONTROL!$C$29, 16.3526, 16.3484) * CHOOSE(CONTROL!$C$12, $D$11, 100%, $F$11)</f>
        <v>16.352599999999999</v>
      </c>
      <c r="I637" s="8">
        <f>CHOOSE( CONTROL!$C$29, 15.2311, 15.227) * CHOOSE(CONTROL!$C$12, $D$11, 100%, $F$11)</f>
        <v>15.2311</v>
      </c>
      <c r="J637" s="4">
        <f>CHOOSE( CONTROL!$C$29, 15.1496, 15.1455) * CHOOSE(CONTROL!$C$12, $D$11, 100%, $F$11)</f>
        <v>15.1496</v>
      </c>
      <c r="K637" s="4"/>
      <c r="L637" s="9">
        <v>28.568200000000001</v>
      </c>
      <c r="M637" s="9">
        <v>11.6745</v>
      </c>
      <c r="N637" s="9">
        <v>4.7850000000000001</v>
      </c>
      <c r="O637" s="9">
        <v>0.36249999999999999</v>
      </c>
      <c r="P637" s="9">
        <v>1.1798</v>
      </c>
      <c r="Q637" s="9">
        <v>19.053000000000001</v>
      </c>
      <c r="R637" s="9"/>
      <c r="S637" s="11"/>
    </row>
    <row r="638" spans="1:19" ht="15.75">
      <c r="A638" s="13">
        <v>61301</v>
      </c>
      <c r="B638" s="8">
        <f>16.5134 * CHOOSE(CONTROL!$C$12, $D$11, 100%, $F$11)</f>
        <v>16.513400000000001</v>
      </c>
      <c r="C638" s="8">
        <f>16.5238 * CHOOSE(CONTROL!$C$12, $D$11, 100%, $F$11)</f>
        <v>16.523800000000001</v>
      </c>
      <c r="D638" s="8">
        <f>16.5282 * CHOOSE( CONTROL!$C$12, $D$11, 100%, $F$11)</f>
        <v>16.528199999999998</v>
      </c>
      <c r="E638" s="12">
        <f>16.5256 * CHOOSE( CONTROL!$C$12, $D$11, 100%, $F$11)</f>
        <v>16.525600000000001</v>
      </c>
      <c r="F638" s="4">
        <f>17.5206 * CHOOSE(CONTROL!$C$12, $D$11, 100%, $F$11)</f>
        <v>17.520600000000002</v>
      </c>
      <c r="G638" s="8">
        <f>16.0931 * CHOOSE( CONTROL!$C$12, $D$11, 100%, $F$11)</f>
        <v>16.0931</v>
      </c>
      <c r="H638" s="4">
        <f>17.0024 * CHOOSE(CONTROL!$C$12, $D$11, 100%, $F$11)</f>
        <v>17.002400000000002</v>
      </c>
      <c r="I638" s="8">
        <f>15.8968 * CHOOSE(CONTROL!$C$12, $D$11, 100%, $F$11)</f>
        <v>15.896800000000001</v>
      </c>
      <c r="J638" s="4">
        <f>15.8184 * CHOOSE(CONTROL!$C$12, $D$11, 100%, $F$11)</f>
        <v>15.8184</v>
      </c>
      <c r="K638" s="4"/>
      <c r="L638" s="9">
        <v>28.921800000000001</v>
      </c>
      <c r="M638" s="9">
        <v>12.063700000000001</v>
      </c>
      <c r="N638" s="9">
        <v>4.9444999999999997</v>
      </c>
      <c r="O638" s="9">
        <v>0.37459999999999999</v>
      </c>
      <c r="P638" s="9">
        <v>1.2192000000000001</v>
      </c>
      <c r="Q638" s="9">
        <v>19.688099999999999</v>
      </c>
      <c r="R638" s="9"/>
      <c r="S638" s="11"/>
    </row>
    <row r="639" spans="1:19" ht="15.75">
      <c r="A639" s="13">
        <v>61331</v>
      </c>
      <c r="B639" s="8">
        <f>17.8094 * CHOOSE(CONTROL!$C$12, $D$11, 100%, $F$11)</f>
        <v>17.8094</v>
      </c>
      <c r="C639" s="8">
        <f>17.8199 * CHOOSE(CONTROL!$C$12, $D$11, 100%, $F$11)</f>
        <v>17.819900000000001</v>
      </c>
      <c r="D639" s="8">
        <f>17.8023 * CHOOSE( CONTROL!$C$12, $D$11, 100%, $F$11)</f>
        <v>17.802299999999999</v>
      </c>
      <c r="E639" s="12">
        <f>17.8076 * CHOOSE( CONTROL!$C$12, $D$11, 100%, $F$11)</f>
        <v>17.807600000000001</v>
      </c>
      <c r="F639" s="4">
        <f>18.8037 * CHOOSE(CONTROL!$C$12, $D$11, 100%, $F$11)</f>
        <v>18.803699999999999</v>
      </c>
      <c r="G639" s="8">
        <f>17.3689 * CHOOSE( CONTROL!$C$12, $D$11, 100%, $F$11)</f>
        <v>17.3689</v>
      </c>
      <c r="H639" s="4">
        <f>18.253 * CHOOSE(CONTROL!$C$12, $D$11, 100%, $F$11)</f>
        <v>18.253</v>
      </c>
      <c r="I639" s="8">
        <f>17.1628 * CHOOSE(CONTROL!$C$12, $D$11, 100%, $F$11)</f>
        <v>17.162800000000001</v>
      </c>
      <c r="J639" s="4">
        <f>17.0603 * CHOOSE(CONTROL!$C$12, $D$11, 100%, $F$11)</f>
        <v>17.060300000000002</v>
      </c>
      <c r="K639" s="4"/>
      <c r="L639" s="9">
        <v>26.515499999999999</v>
      </c>
      <c r="M639" s="9">
        <v>11.6745</v>
      </c>
      <c r="N639" s="9">
        <v>4.7850000000000001</v>
      </c>
      <c r="O639" s="9">
        <v>0.36249999999999999</v>
      </c>
      <c r="P639" s="9">
        <v>1.2522</v>
      </c>
      <c r="Q639" s="9">
        <v>19.053000000000001</v>
      </c>
      <c r="R639" s="9"/>
      <c r="S639" s="11"/>
    </row>
    <row r="640" spans="1:19" ht="15.75">
      <c r="A640" s="13">
        <v>61362</v>
      </c>
      <c r="B640" s="8">
        <f>17.7771 * CHOOSE(CONTROL!$C$12, $D$11, 100%, $F$11)</f>
        <v>17.777100000000001</v>
      </c>
      <c r="C640" s="8">
        <f>17.7875 * CHOOSE(CONTROL!$C$12, $D$11, 100%, $F$11)</f>
        <v>17.787500000000001</v>
      </c>
      <c r="D640" s="8">
        <f>17.7719 * CHOOSE( CONTROL!$C$12, $D$11, 100%, $F$11)</f>
        <v>17.771899999999999</v>
      </c>
      <c r="E640" s="12">
        <f>17.7765 * CHOOSE( CONTROL!$C$12, $D$11, 100%, $F$11)</f>
        <v>17.776499999999999</v>
      </c>
      <c r="F640" s="4">
        <f>18.7713 * CHOOSE(CONTROL!$C$12, $D$11, 100%, $F$11)</f>
        <v>18.7713</v>
      </c>
      <c r="G640" s="8">
        <f>17.3389 * CHOOSE( CONTROL!$C$12, $D$11, 100%, $F$11)</f>
        <v>17.338899999999999</v>
      </c>
      <c r="H640" s="4">
        <f>18.2215 * CHOOSE(CONTROL!$C$12, $D$11, 100%, $F$11)</f>
        <v>18.221499999999999</v>
      </c>
      <c r="I640" s="8">
        <f>17.139 * CHOOSE(CONTROL!$C$12, $D$11, 100%, $F$11)</f>
        <v>17.138999999999999</v>
      </c>
      <c r="J640" s="4">
        <f>17.0292 * CHOOSE(CONTROL!$C$12, $D$11, 100%, $F$11)</f>
        <v>17.029199999999999</v>
      </c>
      <c r="K640" s="4"/>
      <c r="L640" s="9">
        <v>27.3993</v>
      </c>
      <c r="M640" s="9">
        <v>12.063700000000001</v>
      </c>
      <c r="N640" s="9">
        <v>4.9444999999999997</v>
      </c>
      <c r="O640" s="9">
        <v>0.37459999999999999</v>
      </c>
      <c r="P640" s="9">
        <v>1.2939000000000001</v>
      </c>
      <c r="Q640" s="9">
        <v>19.688099999999999</v>
      </c>
      <c r="R640" s="9"/>
      <c r="S640" s="11"/>
    </row>
    <row r="641" spans="1:19" ht="15.75">
      <c r="A641" s="13">
        <v>61393</v>
      </c>
      <c r="B641" s="8">
        <f>18.4563 * CHOOSE(CONTROL!$C$12, $D$11, 100%, $F$11)</f>
        <v>18.456299999999999</v>
      </c>
      <c r="C641" s="8">
        <f>18.4667 * CHOOSE(CONTROL!$C$12, $D$11, 100%, $F$11)</f>
        <v>18.466699999999999</v>
      </c>
      <c r="D641" s="8">
        <f>18.4644 * CHOOSE( CONTROL!$C$12, $D$11, 100%, $F$11)</f>
        <v>18.464400000000001</v>
      </c>
      <c r="E641" s="12">
        <f>18.4641 * CHOOSE( CONTROL!$C$12, $D$11, 100%, $F$11)</f>
        <v>18.464099999999998</v>
      </c>
      <c r="F641" s="4">
        <f>19.4792 * CHOOSE(CONTROL!$C$12, $D$11, 100%, $F$11)</f>
        <v>19.479199999999999</v>
      </c>
      <c r="G641" s="8">
        <f>18.0182 * CHOOSE( CONTROL!$C$12, $D$11, 100%, $F$11)</f>
        <v>18.0182</v>
      </c>
      <c r="H641" s="4">
        <f>18.9115 * CHOOSE(CONTROL!$C$12, $D$11, 100%, $F$11)</f>
        <v>18.9115</v>
      </c>
      <c r="I641" s="8">
        <f>17.7975 * CHOOSE(CONTROL!$C$12, $D$11, 100%, $F$11)</f>
        <v>17.797499999999999</v>
      </c>
      <c r="J641" s="4">
        <f>17.6801 * CHOOSE(CONTROL!$C$12, $D$11, 100%, $F$11)</f>
        <v>17.680099999999999</v>
      </c>
      <c r="K641" s="4"/>
      <c r="L641" s="9">
        <v>27.3993</v>
      </c>
      <c r="M641" s="9">
        <v>12.063700000000001</v>
      </c>
      <c r="N641" s="9">
        <v>4.9444999999999997</v>
      </c>
      <c r="O641" s="9">
        <v>0.37459999999999999</v>
      </c>
      <c r="P641" s="9">
        <v>1.2939000000000001</v>
      </c>
      <c r="Q641" s="9">
        <v>19.688099999999999</v>
      </c>
      <c r="R641" s="9"/>
      <c r="S641" s="11"/>
    </row>
    <row r="642" spans="1:19" ht="15.75">
      <c r="A642" s="13">
        <v>61422</v>
      </c>
      <c r="B642" s="8">
        <f>17.2635 * CHOOSE(CONTROL!$C$12, $D$11, 100%, $F$11)</f>
        <v>17.263500000000001</v>
      </c>
      <c r="C642" s="8">
        <f>17.2739 * CHOOSE(CONTROL!$C$12, $D$11, 100%, $F$11)</f>
        <v>17.273900000000001</v>
      </c>
      <c r="D642" s="8">
        <f>17.2739 * CHOOSE( CONTROL!$C$12, $D$11, 100%, $F$11)</f>
        <v>17.273900000000001</v>
      </c>
      <c r="E642" s="12">
        <f>17.2728 * CHOOSE( CONTROL!$C$12, $D$11, 100%, $F$11)</f>
        <v>17.2728</v>
      </c>
      <c r="F642" s="4">
        <f>18.2785 * CHOOSE(CONTROL!$C$12, $D$11, 100%, $F$11)</f>
        <v>18.278500000000001</v>
      </c>
      <c r="G642" s="8">
        <f>16.8553 * CHOOSE( CONTROL!$C$12, $D$11, 100%, $F$11)</f>
        <v>16.8553</v>
      </c>
      <c r="H642" s="4">
        <f>17.7411 * CHOOSE(CONTROL!$C$12, $D$11, 100%, $F$11)</f>
        <v>17.741099999999999</v>
      </c>
      <c r="I642" s="8">
        <f>16.643 * CHOOSE(CONTROL!$C$12, $D$11, 100%, $F$11)</f>
        <v>16.643000000000001</v>
      </c>
      <c r="J642" s="4">
        <f>16.5371 * CHOOSE(CONTROL!$C$12, $D$11, 100%, $F$11)</f>
        <v>16.537099999999999</v>
      </c>
      <c r="K642" s="4"/>
      <c r="L642" s="9">
        <v>25.631599999999999</v>
      </c>
      <c r="M642" s="9">
        <v>11.285299999999999</v>
      </c>
      <c r="N642" s="9">
        <v>4.6254999999999997</v>
      </c>
      <c r="O642" s="9">
        <v>0.35039999999999999</v>
      </c>
      <c r="P642" s="9">
        <v>1.2104999999999999</v>
      </c>
      <c r="Q642" s="9">
        <v>18.417899999999999</v>
      </c>
      <c r="R642" s="9"/>
      <c r="S642" s="11"/>
    </row>
    <row r="643" spans="1:19" ht="15.75">
      <c r="A643" s="13">
        <v>61453</v>
      </c>
      <c r="B643" s="8">
        <f>16.8961 * CHOOSE(CONTROL!$C$12, $D$11, 100%, $F$11)</f>
        <v>16.896100000000001</v>
      </c>
      <c r="C643" s="8">
        <f>16.9065 * CHOOSE(CONTROL!$C$12, $D$11, 100%, $F$11)</f>
        <v>16.906500000000001</v>
      </c>
      <c r="D643" s="8">
        <f>16.8863 * CHOOSE( CONTROL!$C$12, $D$11, 100%, $F$11)</f>
        <v>16.886299999999999</v>
      </c>
      <c r="E643" s="12">
        <f>16.8926 * CHOOSE( CONTROL!$C$12, $D$11, 100%, $F$11)</f>
        <v>16.892600000000002</v>
      </c>
      <c r="F643" s="4">
        <f>17.895 * CHOOSE(CONTROL!$C$12, $D$11, 100%, $F$11)</f>
        <v>17.895</v>
      </c>
      <c r="G643" s="8">
        <f>16.4767 * CHOOSE( CONTROL!$C$12, $D$11, 100%, $F$11)</f>
        <v>16.476700000000001</v>
      </c>
      <c r="H643" s="4">
        <f>17.3673 * CHOOSE(CONTROL!$C$12, $D$11, 100%, $F$11)</f>
        <v>17.3673</v>
      </c>
      <c r="I643" s="8">
        <f>16.2513 * CHOOSE(CONTROL!$C$12, $D$11, 100%, $F$11)</f>
        <v>16.251300000000001</v>
      </c>
      <c r="J643" s="4">
        <f>16.185 * CHOOSE(CONTROL!$C$12, $D$11, 100%, $F$11)</f>
        <v>16.184999999999999</v>
      </c>
      <c r="K643" s="4"/>
      <c r="L643" s="9">
        <v>27.3993</v>
      </c>
      <c r="M643" s="9">
        <v>12.063700000000001</v>
      </c>
      <c r="N643" s="9">
        <v>4.9444999999999997</v>
      </c>
      <c r="O643" s="9">
        <v>0.37459999999999999</v>
      </c>
      <c r="P643" s="9">
        <v>1.2939000000000001</v>
      </c>
      <c r="Q643" s="9">
        <v>19.688099999999999</v>
      </c>
      <c r="R643" s="9"/>
      <c r="S643" s="11"/>
    </row>
    <row r="644" spans="1:19" ht="15.75">
      <c r="A644" s="13">
        <v>61483</v>
      </c>
      <c r="B644" s="8">
        <f>17.1528 * CHOOSE(CONTROL!$C$12, $D$11, 100%, $F$11)</f>
        <v>17.152799999999999</v>
      </c>
      <c r="C644" s="8">
        <f>17.1632 * CHOOSE(CONTROL!$C$12, $D$11, 100%, $F$11)</f>
        <v>17.1632</v>
      </c>
      <c r="D644" s="8">
        <f>17.1664 * CHOOSE( CONTROL!$C$12, $D$11, 100%, $F$11)</f>
        <v>17.166399999999999</v>
      </c>
      <c r="E644" s="12">
        <f>17.1642 * CHOOSE( CONTROL!$C$12, $D$11, 100%, $F$11)</f>
        <v>17.164200000000001</v>
      </c>
      <c r="F644" s="4">
        <f>18.16 * CHOOSE(CONTROL!$C$12, $D$11, 100%, $F$11)</f>
        <v>18.16</v>
      </c>
      <c r="G644" s="8">
        <f>16.7148 * CHOOSE( CONTROL!$C$12, $D$11, 100%, $F$11)</f>
        <v>16.7148</v>
      </c>
      <c r="H644" s="4">
        <f>17.6256 * CHOOSE(CONTROL!$C$12, $D$11, 100%, $F$11)</f>
        <v>17.625599999999999</v>
      </c>
      <c r="I644" s="8">
        <f>16.4875 * CHOOSE(CONTROL!$C$12, $D$11, 100%, $F$11)</f>
        <v>16.487500000000001</v>
      </c>
      <c r="J644" s="4">
        <f>16.431 * CHOOSE(CONTROL!$C$12, $D$11, 100%, $F$11)</f>
        <v>16.431000000000001</v>
      </c>
      <c r="K644" s="4"/>
      <c r="L644" s="9">
        <v>27.988800000000001</v>
      </c>
      <c r="M644" s="9">
        <v>11.6745</v>
      </c>
      <c r="N644" s="9">
        <v>4.7850000000000001</v>
      </c>
      <c r="O644" s="9">
        <v>0.36249999999999999</v>
      </c>
      <c r="P644" s="9">
        <v>1.1798</v>
      </c>
      <c r="Q644" s="9">
        <v>19.053000000000001</v>
      </c>
      <c r="R644" s="9"/>
      <c r="S644" s="11"/>
    </row>
    <row r="645" spans="1:19" ht="15.75">
      <c r="A645" s="13">
        <v>61514</v>
      </c>
      <c r="B645" s="8">
        <f>CHOOSE( CONTROL!$C$29, 17.6139, 17.6097) * CHOOSE(CONTROL!$C$12, $D$11, 100%, $F$11)</f>
        <v>17.613900000000001</v>
      </c>
      <c r="C645" s="8">
        <f>CHOOSE( CONTROL!$C$29, 17.6244, 17.6201) * CHOOSE(CONTROL!$C$12, $D$11, 100%, $F$11)</f>
        <v>17.624400000000001</v>
      </c>
      <c r="D645" s="8">
        <f>CHOOSE( CONTROL!$C$29, 17.6023, 17.5981) * CHOOSE( CONTROL!$C$12, $D$11, 100%, $F$11)</f>
        <v>17.6023</v>
      </c>
      <c r="E645" s="12">
        <f>CHOOSE( CONTROL!$C$29, 17.6087, 17.6045) * CHOOSE( CONTROL!$C$12, $D$11, 100%, $F$11)</f>
        <v>17.608699999999999</v>
      </c>
      <c r="F645" s="4">
        <f>CHOOSE( CONTROL!$C$29, 18.5888, 18.5846) * CHOOSE(CONTROL!$C$12, $D$11, 100%, $F$11)</f>
        <v>18.588799999999999</v>
      </c>
      <c r="G645" s="8">
        <f>CHOOSE( CONTROL!$C$29, 17.1455, 17.1414) * CHOOSE( CONTROL!$C$12, $D$11, 100%, $F$11)</f>
        <v>17.145499999999998</v>
      </c>
      <c r="H645" s="4">
        <f>CHOOSE( CONTROL!$C$29, 18.0436, 18.0395) * CHOOSE(CONTROL!$C$12, $D$11, 100%, $F$11)</f>
        <v>18.043600000000001</v>
      </c>
      <c r="I645" s="8">
        <f>CHOOSE( CONTROL!$C$29, 16.9081, 16.904) * CHOOSE(CONTROL!$C$12, $D$11, 100%, $F$11)</f>
        <v>16.908100000000001</v>
      </c>
      <c r="J645" s="4">
        <f>CHOOSE( CONTROL!$C$29, 16.8729, 16.8689) * CHOOSE(CONTROL!$C$12, $D$11, 100%, $F$11)</f>
        <v>16.872900000000001</v>
      </c>
      <c r="K645" s="4"/>
      <c r="L645" s="9">
        <v>29.520499999999998</v>
      </c>
      <c r="M645" s="9">
        <v>12.063700000000001</v>
      </c>
      <c r="N645" s="9">
        <v>4.9444999999999997</v>
      </c>
      <c r="O645" s="9">
        <v>0.37459999999999999</v>
      </c>
      <c r="P645" s="9">
        <v>1.2192000000000001</v>
      </c>
      <c r="Q645" s="9">
        <v>19.688099999999999</v>
      </c>
      <c r="R645" s="9"/>
      <c r="S645" s="11"/>
    </row>
    <row r="646" spans="1:19" ht="15.75">
      <c r="A646" s="13">
        <v>61544</v>
      </c>
      <c r="B646" s="8">
        <f>CHOOSE( CONTROL!$C$29, 17.3309, 17.3267) * CHOOSE(CONTROL!$C$12, $D$11, 100%, $F$11)</f>
        <v>17.3309</v>
      </c>
      <c r="C646" s="8">
        <f>CHOOSE( CONTROL!$C$29, 17.3413, 17.3371) * CHOOSE(CONTROL!$C$12, $D$11, 100%, $F$11)</f>
        <v>17.3413</v>
      </c>
      <c r="D646" s="8">
        <f>CHOOSE( CONTROL!$C$29, 17.3137, 17.3094) * CHOOSE( CONTROL!$C$12, $D$11, 100%, $F$11)</f>
        <v>17.313700000000001</v>
      </c>
      <c r="E646" s="12">
        <f>CHOOSE( CONTROL!$C$29, 17.3221, 17.3179) * CHOOSE( CONTROL!$C$12, $D$11, 100%, $F$11)</f>
        <v>17.322099999999999</v>
      </c>
      <c r="F646" s="4">
        <f>CHOOSE( CONTROL!$C$29, 18.2954, 18.2911) * CHOOSE(CONTROL!$C$12, $D$11, 100%, $F$11)</f>
        <v>18.295400000000001</v>
      </c>
      <c r="G646" s="8">
        <f>CHOOSE( CONTROL!$C$29, 16.8684, 16.8642) * CHOOSE( CONTROL!$C$12, $D$11, 100%, $F$11)</f>
        <v>16.868400000000001</v>
      </c>
      <c r="H646" s="4">
        <f>CHOOSE( CONTROL!$C$29, 17.7576, 17.7534) * CHOOSE(CONTROL!$C$12, $D$11, 100%, $F$11)</f>
        <v>17.7576</v>
      </c>
      <c r="I646" s="8">
        <f>CHOOSE( CONTROL!$C$29, 16.6389, 16.6348) * CHOOSE(CONTROL!$C$12, $D$11, 100%, $F$11)</f>
        <v>16.6389</v>
      </c>
      <c r="J646" s="4">
        <f>CHOOSE( CONTROL!$C$29, 16.6017, 16.5976) * CHOOSE(CONTROL!$C$12, $D$11, 100%, $F$11)</f>
        <v>16.601700000000001</v>
      </c>
      <c r="K646" s="4"/>
      <c r="L646" s="9">
        <v>28.568200000000001</v>
      </c>
      <c r="M646" s="9">
        <v>11.6745</v>
      </c>
      <c r="N646" s="9">
        <v>4.7850000000000001</v>
      </c>
      <c r="O646" s="9">
        <v>0.36249999999999999</v>
      </c>
      <c r="P646" s="9">
        <v>1.1798</v>
      </c>
      <c r="Q646" s="9">
        <v>19.053000000000001</v>
      </c>
      <c r="R646" s="9"/>
      <c r="S646" s="11"/>
    </row>
    <row r="647" spans="1:19" ht="15.75">
      <c r="A647" s="13">
        <v>61575</v>
      </c>
      <c r="B647" s="8">
        <f>CHOOSE( CONTROL!$C$29, 18.0763, 18.072) * CHOOSE(CONTROL!$C$12, $D$11, 100%, $F$11)</f>
        <v>18.0763</v>
      </c>
      <c r="C647" s="8">
        <f>CHOOSE( CONTROL!$C$29, 18.0867, 18.0825) * CHOOSE(CONTROL!$C$12, $D$11, 100%, $F$11)</f>
        <v>18.0867</v>
      </c>
      <c r="D647" s="8">
        <f>CHOOSE( CONTROL!$C$29, 18.0928, 18.0886) * CHOOSE( CONTROL!$C$12, $D$11, 100%, $F$11)</f>
        <v>18.0928</v>
      </c>
      <c r="E647" s="12">
        <f>CHOOSE( CONTROL!$C$29, 18.089, 18.0848) * CHOOSE( CONTROL!$C$12, $D$11, 100%, $F$11)</f>
        <v>18.088999999999999</v>
      </c>
      <c r="F647" s="4">
        <f>CHOOSE( CONTROL!$C$29, 19.0861, 19.0819) * CHOOSE(CONTROL!$C$12, $D$11, 100%, $F$11)</f>
        <v>19.086099999999998</v>
      </c>
      <c r="G647" s="8">
        <f>CHOOSE( CONTROL!$C$29, 17.621, 17.6168) * CHOOSE( CONTROL!$C$12, $D$11, 100%, $F$11)</f>
        <v>17.620999999999999</v>
      </c>
      <c r="H647" s="4">
        <f>CHOOSE( CONTROL!$C$29, 18.5284, 18.5242) * CHOOSE(CONTROL!$C$12, $D$11, 100%, $F$11)</f>
        <v>18.528400000000001</v>
      </c>
      <c r="I647" s="8">
        <f>CHOOSE( CONTROL!$C$29, 17.4087, 17.4047) * CHOOSE(CONTROL!$C$12, $D$11, 100%, $F$11)</f>
        <v>17.4087</v>
      </c>
      <c r="J647" s="4">
        <f>CHOOSE( CONTROL!$C$29, 17.3159, 17.3118) * CHOOSE(CONTROL!$C$12, $D$11, 100%, $F$11)</f>
        <v>17.315899999999999</v>
      </c>
      <c r="K647" s="4"/>
      <c r="L647" s="9">
        <v>29.520499999999998</v>
      </c>
      <c r="M647" s="9">
        <v>12.063700000000001</v>
      </c>
      <c r="N647" s="9">
        <v>4.9444999999999997</v>
      </c>
      <c r="O647" s="9">
        <v>0.37459999999999999</v>
      </c>
      <c r="P647" s="9">
        <v>1.2192000000000001</v>
      </c>
      <c r="Q647" s="9">
        <v>19.688099999999999</v>
      </c>
      <c r="R647" s="9"/>
      <c r="S647" s="11"/>
    </row>
    <row r="648" spans="1:19" ht="15.75">
      <c r="A648" s="13">
        <v>61606</v>
      </c>
      <c r="B648" s="8">
        <f>CHOOSE( CONTROL!$C$29, 16.6816, 16.6774) * CHOOSE(CONTROL!$C$12, $D$11, 100%, $F$11)</f>
        <v>16.6816</v>
      </c>
      <c r="C648" s="8">
        <f>CHOOSE( CONTROL!$C$29, 16.6921, 16.6878) * CHOOSE(CONTROL!$C$12, $D$11, 100%, $F$11)</f>
        <v>16.6921</v>
      </c>
      <c r="D648" s="8">
        <f>CHOOSE( CONTROL!$C$29, 16.7146, 16.7104) * CHOOSE( CONTROL!$C$12, $D$11, 100%, $F$11)</f>
        <v>16.714600000000001</v>
      </c>
      <c r="E648" s="12">
        <f>CHOOSE( CONTROL!$C$29, 16.7048, 16.7006) * CHOOSE( CONTROL!$C$12, $D$11, 100%, $F$11)</f>
        <v>16.704799999999999</v>
      </c>
      <c r="F648" s="4">
        <f>CHOOSE( CONTROL!$C$29, 17.7202, 17.7159) * CHOOSE(CONTROL!$C$12, $D$11, 100%, $F$11)</f>
        <v>17.720199999999998</v>
      </c>
      <c r="G648" s="8">
        <f>CHOOSE( CONTROL!$C$29, 16.2671, 16.263) * CHOOSE( CONTROL!$C$12, $D$11, 100%, $F$11)</f>
        <v>16.267099999999999</v>
      </c>
      <c r="H648" s="4">
        <f>CHOOSE( CONTROL!$C$29, 17.1969, 17.1927) * CHOOSE(CONTROL!$C$12, $D$11, 100%, $F$11)</f>
        <v>17.196899999999999</v>
      </c>
      <c r="I648" s="8">
        <f>CHOOSE( CONTROL!$C$29, 16.0632, 16.0591) * CHOOSE(CONTROL!$C$12, $D$11, 100%, $F$11)</f>
        <v>16.063199999999998</v>
      </c>
      <c r="J648" s="4">
        <f>CHOOSE( CONTROL!$C$29, 15.9796, 15.9755) * CHOOSE(CONTROL!$C$12, $D$11, 100%, $F$11)</f>
        <v>15.9796</v>
      </c>
      <c r="K648" s="4"/>
      <c r="L648" s="9">
        <v>29.520499999999998</v>
      </c>
      <c r="M648" s="9">
        <v>12.063700000000001</v>
      </c>
      <c r="N648" s="9">
        <v>4.9444999999999997</v>
      </c>
      <c r="O648" s="9">
        <v>0.37459999999999999</v>
      </c>
      <c r="P648" s="9">
        <v>1.2192000000000001</v>
      </c>
      <c r="Q648" s="9">
        <v>19.688099999999999</v>
      </c>
      <c r="R648" s="9"/>
      <c r="S648" s="11"/>
    </row>
    <row r="649" spans="1:19" ht="15.75">
      <c r="A649" s="13">
        <v>61636</v>
      </c>
      <c r="B649" s="8">
        <f>CHOOSE( CONTROL!$C$29, 16.3324, 16.3281) * CHOOSE(CONTROL!$C$12, $D$11, 100%, $F$11)</f>
        <v>16.3324</v>
      </c>
      <c r="C649" s="8">
        <f>CHOOSE( CONTROL!$C$29, 16.3428, 16.3386) * CHOOSE(CONTROL!$C$12, $D$11, 100%, $F$11)</f>
        <v>16.3428</v>
      </c>
      <c r="D649" s="8">
        <f>CHOOSE( CONTROL!$C$29, 16.3654, 16.3611) * CHOOSE( CONTROL!$C$12, $D$11, 100%, $F$11)</f>
        <v>16.365400000000001</v>
      </c>
      <c r="E649" s="12">
        <f>CHOOSE( CONTROL!$C$29, 16.3556, 16.3513) * CHOOSE( CONTROL!$C$12, $D$11, 100%, $F$11)</f>
        <v>16.355599999999999</v>
      </c>
      <c r="F649" s="4">
        <f>CHOOSE( CONTROL!$C$29, 17.3709, 17.3667) * CHOOSE(CONTROL!$C$12, $D$11, 100%, $F$11)</f>
        <v>17.370899999999999</v>
      </c>
      <c r="G649" s="8">
        <f>CHOOSE( CONTROL!$C$29, 15.9264, 15.9222) * CHOOSE( CONTROL!$C$12, $D$11, 100%, $F$11)</f>
        <v>15.926399999999999</v>
      </c>
      <c r="H649" s="4">
        <f>CHOOSE( CONTROL!$C$29, 16.8564, 16.8523) * CHOOSE(CONTROL!$C$12, $D$11, 100%, $F$11)</f>
        <v>16.856400000000001</v>
      </c>
      <c r="I649" s="8">
        <f>CHOOSE( CONTROL!$C$29, 15.7267, 15.7226) * CHOOSE(CONTROL!$C$12, $D$11, 100%, $F$11)</f>
        <v>15.726699999999999</v>
      </c>
      <c r="J649" s="4">
        <f>CHOOSE( CONTROL!$C$29, 15.6449, 15.6409) * CHOOSE(CONTROL!$C$12, $D$11, 100%, $F$11)</f>
        <v>15.6449</v>
      </c>
      <c r="K649" s="4"/>
      <c r="L649" s="9">
        <v>28.568200000000001</v>
      </c>
      <c r="M649" s="9">
        <v>11.6745</v>
      </c>
      <c r="N649" s="9">
        <v>4.7850000000000001</v>
      </c>
      <c r="O649" s="9">
        <v>0.36249999999999999</v>
      </c>
      <c r="P649" s="9">
        <v>1.1798</v>
      </c>
      <c r="Q649" s="9">
        <v>19.053000000000001</v>
      </c>
      <c r="R649" s="9"/>
      <c r="S649" s="11"/>
    </row>
    <row r="650" spans="1:19" ht="15.75">
      <c r="A650" s="13">
        <v>61667</v>
      </c>
      <c r="B650" s="8">
        <f>17.0533 * CHOOSE(CONTROL!$C$12, $D$11, 100%, $F$11)</f>
        <v>17.0533</v>
      </c>
      <c r="C650" s="8">
        <f>17.0637 * CHOOSE(CONTROL!$C$12, $D$11, 100%, $F$11)</f>
        <v>17.063700000000001</v>
      </c>
      <c r="D650" s="8">
        <f>17.0681 * CHOOSE( CONTROL!$C$12, $D$11, 100%, $F$11)</f>
        <v>17.068100000000001</v>
      </c>
      <c r="E650" s="12">
        <f>17.0655 * CHOOSE( CONTROL!$C$12, $D$11, 100%, $F$11)</f>
        <v>17.0655</v>
      </c>
      <c r="F650" s="4">
        <f>18.0605 * CHOOSE(CONTROL!$C$12, $D$11, 100%, $F$11)</f>
        <v>18.060500000000001</v>
      </c>
      <c r="G650" s="8">
        <f>16.6194 * CHOOSE( CONTROL!$C$12, $D$11, 100%, $F$11)</f>
        <v>16.619399999999999</v>
      </c>
      <c r="H650" s="4">
        <f>17.5286 * CHOOSE(CONTROL!$C$12, $D$11, 100%, $F$11)</f>
        <v>17.528600000000001</v>
      </c>
      <c r="I650" s="8">
        <f>16.4144 * CHOOSE(CONTROL!$C$12, $D$11, 100%, $F$11)</f>
        <v>16.414400000000001</v>
      </c>
      <c r="J650" s="4">
        <f>16.3357 * CHOOSE(CONTROL!$C$12, $D$11, 100%, $F$11)</f>
        <v>16.335699999999999</v>
      </c>
      <c r="K650" s="4"/>
      <c r="L650" s="9">
        <v>28.921800000000001</v>
      </c>
      <c r="M650" s="9">
        <v>12.063700000000001</v>
      </c>
      <c r="N650" s="9">
        <v>4.9444999999999997</v>
      </c>
      <c r="O650" s="9">
        <v>0.37459999999999999</v>
      </c>
      <c r="P650" s="9">
        <v>1.2192000000000001</v>
      </c>
      <c r="Q650" s="9">
        <v>19.688099999999999</v>
      </c>
      <c r="R650" s="9"/>
      <c r="S650" s="11"/>
    </row>
    <row r="651" spans="1:19" ht="15.75">
      <c r="A651" s="13">
        <v>61697</v>
      </c>
      <c r="B651" s="8">
        <f>18.3917 * CHOOSE(CONTROL!$C$12, $D$11, 100%, $F$11)</f>
        <v>18.3917</v>
      </c>
      <c r="C651" s="8">
        <f>18.4022 * CHOOSE(CONTROL!$C$12, $D$11, 100%, $F$11)</f>
        <v>18.402200000000001</v>
      </c>
      <c r="D651" s="8">
        <f>18.3845 * CHOOSE( CONTROL!$C$12, $D$11, 100%, $F$11)</f>
        <v>18.384499999999999</v>
      </c>
      <c r="E651" s="12">
        <f>18.3899 * CHOOSE( CONTROL!$C$12, $D$11, 100%, $F$11)</f>
        <v>18.389900000000001</v>
      </c>
      <c r="F651" s="4">
        <f>19.3859 * CHOOSE(CONTROL!$C$12, $D$11, 100%, $F$11)</f>
        <v>19.385899999999999</v>
      </c>
      <c r="G651" s="8">
        <f>17.9365 * CHOOSE( CONTROL!$C$12, $D$11, 100%, $F$11)</f>
        <v>17.936499999999999</v>
      </c>
      <c r="H651" s="4">
        <f>18.8206 * CHOOSE(CONTROL!$C$12, $D$11, 100%, $F$11)</f>
        <v>18.820599999999999</v>
      </c>
      <c r="I651" s="8">
        <f>17.721 * CHOOSE(CONTROL!$C$12, $D$11, 100%, $F$11)</f>
        <v>17.721</v>
      </c>
      <c r="J651" s="4">
        <f>17.6182 * CHOOSE(CONTROL!$C$12, $D$11, 100%, $F$11)</f>
        <v>17.618200000000002</v>
      </c>
      <c r="K651" s="4"/>
      <c r="L651" s="9">
        <v>26.515499999999999</v>
      </c>
      <c r="M651" s="9">
        <v>11.6745</v>
      </c>
      <c r="N651" s="9">
        <v>4.7850000000000001</v>
      </c>
      <c r="O651" s="9">
        <v>0.36249999999999999</v>
      </c>
      <c r="P651" s="9">
        <v>1.2522</v>
      </c>
      <c r="Q651" s="9">
        <v>19.053000000000001</v>
      </c>
      <c r="R651" s="9"/>
      <c r="S651" s="11"/>
    </row>
    <row r="652" spans="1:19" ht="15.75">
      <c r="A652" s="13">
        <v>61728</v>
      </c>
      <c r="B652" s="8">
        <f>18.3583 * CHOOSE(CONTROL!$C$12, $D$11, 100%, $F$11)</f>
        <v>18.3583</v>
      </c>
      <c r="C652" s="8">
        <f>18.3687 * CHOOSE(CONTROL!$C$12, $D$11, 100%, $F$11)</f>
        <v>18.3687</v>
      </c>
      <c r="D652" s="8">
        <f>18.3531 * CHOOSE( CONTROL!$C$12, $D$11, 100%, $F$11)</f>
        <v>18.353100000000001</v>
      </c>
      <c r="E652" s="12">
        <f>18.3577 * CHOOSE( CONTROL!$C$12, $D$11, 100%, $F$11)</f>
        <v>18.357700000000001</v>
      </c>
      <c r="F652" s="4">
        <f>19.3525 * CHOOSE(CONTROL!$C$12, $D$11, 100%, $F$11)</f>
        <v>19.352499999999999</v>
      </c>
      <c r="G652" s="8">
        <f>17.9054 * CHOOSE( CONTROL!$C$12, $D$11, 100%, $F$11)</f>
        <v>17.9054</v>
      </c>
      <c r="H652" s="4">
        <f>18.788 * CHOOSE(CONTROL!$C$12, $D$11, 100%, $F$11)</f>
        <v>18.788</v>
      </c>
      <c r="I652" s="8">
        <f>17.6962 * CHOOSE(CONTROL!$C$12, $D$11, 100%, $F$11)</f>
        <v>17.696200000000001</v>
      </c>
      <c r="J652" s="4">
        <f>17.5861 * CHOOSE(CONTROL!$C$12, $D$11, 100%, $F$11)</f>
        <v>17.586099999999998</v>
      </c>
      <c r="K652" s="4"/>
      <c r="L652" s="9">
        <v>27.3993</v>
      </c>
      <c r="M652" s="9">
        <v>12.063700000000001</v>
      </c>
      <c r="N652" s="9">
        <v>4.9444999999999997</v>
      </c>
      <c r="O652" s="9">
        <v>0.37459999999999999</v>
      </c>
      <c r="P652" s="9">
        <v>1.2939000000000001</v>
      </c>
      <c r="Q652" s="9">
        <v>19.688099999999999</v>
      </c>
      <c r="R652" s="9"/>
      <c r="S652" s="11"/>
    </row>
    <row r="653" spans="1:19" ht="15.75">
      <c r="A653" s="13">
        <v>61759</v>
      </c>
      <c r="B653" s="8">
        <f>19.0597 * CHOOSE(CONTROL!$C$12, $D$11, 100%, $F$11)</f>
        <v>19.059699999999999</v>
      </c>
      <c r="C653" s="8">
        <f>19.0702 * CHOOSE(CONTROL!$C$12, $D$11, 100%, $F$11)</f>
        <v>19.0702</v>
      </c>
      <c r="D653" s="8">
        <f>19.0678 * CHOOSE( CONTROL!$C$12, $D$11, 100%, $F$11)</f>
        <v>19.067799999999998</v>
      </c>
      <c r="E653" s="12">
        <f>19.0676 * CHOOSE( CONTROL!$C$12, $D$11, 100%, $F$11)</f>
        <v>19.067599999999999</v>
      </c>
      <c r="F653" s="4">
        <f>20.0826 * CHOOSE(CONTROL!$C$12, $D$11, 100%, $F$11)</f>
        <v>20.082599999999999</v>
      </c>
      <c r="G653" s="8">
        <f>18.6064 * CHOOSE( CONTROL!$C$12, $D$11, 100%, $F$11)</f>
        <v>18.606400000000001</v>
      </c>
      <c r="H653" s="4">
        <f>19.4997 * CHOOSE(CONTROL!$C$12, $D$11, 100%, $F$11)</f>
        <v>19.499700000000001</v>
      </c>
      <c r="I653" s="8">
        <f>18.376 * CHOOSE(CONTROL!$C$12, $D$11, 100%, $F$11)</f>
        <v>18.376000000000001</v>
      </c>
      <c r="J653" s="4">
        <f>18.2583 * CHOOSE(CONTROL!$C$12, $D$11, 100%, $F$11)</f>
        <v>18.258299999999998</v>
      </c>
      <c r="K653" s="4"/>
      <c r="L653" s="9">
        <v>27.3993</v>
      </c>
      <c r="M653" s="9">
        <v>12.063700000000001</v>
      </c>
      <c r="N653" s="9">
        <v>4.9444999999999997</v>
      </c>
      <c r="O653" s="9">
        <v>0.37459999999999999</v>
      </c>
      <c r="P653" s="9">
        <v>1.2939000000000001</v>
      </c>
      <c r="Q653" s="9">
        <v>19.688099999999999</v>
      </c>
      <c r="R653" s="9"/>
      <c r="S653" s="11"/>
    </row>
    <row r="654" spans="1:19" ht="15.75">
      <c r="A654" s="13">
        <v>61787</v>
      </c>
      <c r="B654" s="8">
        <f>17.8279 * CHOOSE(CONTROL!$C$12, $D$11, 100%, $F$11)</f>
        <v>17.8279</v>
      </c>
      <c r="C654" s="8">
        <f>17.8383 * CHOOSE(CONTROL!$C$12, $D$11, 100%, $F$11)</f>
        <v>17.8383</v>
      </c>
      <c r="D654" s="8">
        <f>17.8383 * CHOOSE( CONTROL!$C$12, $D$11, 100%, $F$11)</f>
        <v>17.8383</v>
      </c>
      <c r="E654" s="12">
        <f>17.8372 * CHOOSE( CONTROL!$C$12, $D$11, 100%, $F$11)</f>
        <v>17.837199999999999</v>
      </c>
      <c r="F654" s="4">
        <f>18.843 * CHOOSE(CONTROL!$C$12, $D$11, 100%, $F$11)</f>
        <v>18.843</v>
      </c>
      <c r="G654" s="8">
        <f>17.4054 * CHOOSE( CONTROL!$C$12, $D$11, 100%, $F$11)</f>
        <v>17.4054</v>
      </c>
      <c r="H654" s="4">
        <f>18.2913 * CHOOSE(CONTROL!$C$12, $D$11, 100%, $F$11)</f>
        <v>18.2913</v>
      </c>
      <c r="I654" s="8">
        <f>17.1841 * CHOOSE(CONTROL!$C$12, $D$11, 100%, $F$11)</f>
        <v>17.184100000000001</v>
      </c>
      <c r="J654" s="4">
        <f>17.0779 * CHOOSE(CONTROL!$C$12, $D$11, 100%, $F$11)</f>
        <v>17.0779</v>
      </c>
      <c r="K654" s="4"/>
      <c r="L654" s="9">
        <v>24.747800000000002</v>
      </c>
      <c r="M654" s="9">
        <v>10.8962</v>
      </c>
      <c r="N654" s="9">
        <v>4.4660000000000002</v>
      </c>
      <c r="O654" s="9">
        <v>0.33829999999999999</v>
      </c>
      <c r="P654" s="9">
        <v>1.1687000000000001</v>
      </c>
      <c r="Q654" s="9">
        <v>17.782800000000002</v>
      </c>
      <c r="R654" s="9"/>
      <c r="S654" s="11"/>
    </row>
    <row r="655" spans="1:19" ht="15.75">
      <c r="A655" s="13">
        <v>61818</v>
      </c>
      <c r="B655" s="8">
        <f>17.4485 * CHOOSE(CONTROL!$C$12, $D$11, 100%, $F$11)</f>
        <v>17.448499999999999</v>
      </c>
      <c r="C655" s="8">
        <f>17.4589 * CHOOSE(CONTROL!$C$12, $D$11, 100%, $F$11)</f>
        <v>17.4589</v>
      </c>
      <c r="D655" s="8">
        <f>17.4387 * CHOOSE( CONTROL!$C$12, $D$11, 100%, $F$11)</f>
        <v>17.438700000000001</v>
      </c>
      <c r="E655" s="12">
        <f>17.445 * CHOOSE( CONTROL!$C$12, $D$11, 100%, $F$11)</f>
        <v>17.445</v>
      </c>
      <c r="F655" s="4">
        <f>18.4474 * CHOOSE(CONTROL!$C$12, $D$11, 100%, $F$11)</f>
        <v>18.447399999999998</v>
      </c>
      <c r="G655" s="8">
        <f>17.0151 * CHOOSE( CONTROL!$C$12, $D$11, 100%, $F$11)</f>
        <v>17.0151</v>
      </c>
      <c r="H655" s="4">
        <f>17.9057 * CHOOSE(CONTROL!$C$12, $D$11, 100%, $F$11)</f>
        <v>17.9057</v>
      </c>
      <c r="I655" s="8">
        <f>16.7809 * CHOOSE(CONTROL!$C$12, $D$11, 100%, $F$11)</f>
        <v>16.780899999999999</v>
      </c>
      <c r="J655" s="4">
        <f>16.7144 * CHOOSE(CONTROL!$C$12, $D$11, 100%, $F$11)</f>
        <v>16.714400000000001</v>
      </c>
      <c r="K655" s="4"/>
      <c r="L655" s="9">
        <v>27.3993</v>
      </c>
      <c r="M655" s="9">
        <v>12.063700000000001</v>
      </c>
      <c r="N655" s="9">
        <v>4.9444999999999997</v>
      </c>
      <c r="O655" s="9">
        <v>0.37459999999999999</v>
      </c>
      <c r="P655" s="9">
        <v>1.2939000000000001</v>
      </c>
      <c r="Q655" s="9">
        <v>19.688099999999999</v>
      </c>
      <c r="R655" s="9"/>
      <c r="S655" s="11"/>
    </row>
    <row r="656" spans="1:19" ht="15.75">
      <c r="A656" s="13">
        <v>61848</v>
      </c>
      <c r="B656" s="8">
        <f>17.7136 * CHOOSE(CONTROL!$C$12, $D$11, 100%, $F$11)</f>
        <v>17.7136</v>
      </c>
      <c r="C656" s="8">
        <f>17.724 * CHOOSE(CONTROL!$C$12, $D$11, 100%, $F$11)</f>
        <v>17.724</v>
      </c>
      <c r="D656" s="8">
        <f>17.7272 * CHOOSE( CONTROL!$C$12, $D$11, 100%, $F$11)</f>
        <v>17.7272</v>
      </c>
      <c r="E656" s="12">
        <f>17.725 * CHOOSE( CONTROL!$C$12, $D$11, 100%, $F$11)</f>
        <v>17.725000000000001</v>
      </c>
      <c r="F656" s="4">
        <f>18.7208 * CHOOSE(CONTROL!$C$12, $D$11, 100%, $F$11)</f>
        <v>18.720800000000001</v>
      </c>
      <c r="G656" s="8">
        <f>17.2614 * CHOOSE( CONTROL!$C$12, $D$11, 100%, $F$11)</f>
        <v>17.261399999999998</v>
      </c>
      <c r="H656" s="4">
        <f>18.1723 * CHOOSE(CONTROL!$C$12, $D$11, 100%, $F$11)</f>
        <v>18.1723</v>
      </c>
      <c r="I656" s="8">
        <f>17.0251 * CHOOSE(CONTROL!$C$12, $D$11, 100%, $F$11)</f>
        <v>17.025099999999998</v>
      </c>
      <c r="J656" s="4">
        <f>16.9684 * CHOOSE(CONTROL!$C$12, $D$11, 100%, $F$11)</f>
        <v>16.968399999999999</v>
      </c>
      <c r="K656" s="4"/>
      <c r="L656" s="9">
        <v>27.988800000000001</v>
      </c>
      <c r="M656" s="9">
        <v>11.6745</v>
      </c>
      <c r="N656" s="9">
        <v>4.7850000000000001</v>
      </c>
      <c r="O656" s="9">
        <v>0.36249999999999999</v>
      </c>
      <c r="P656" s="9">
        <v>1.1798</v>
      </c>
      <c r="Q656" s="9">
        <v>19.053000000000001</v>
      </c>
      <c r="R656" s="9"/>
      <c r="S656" s="11"/>
    </row>
    <row r="657" spans="1:19" ht="15.75">
      <c r="A657" s="13">
        <v>61879</v>
      </c>
      <c r="B657" s="8">
        <f>CHOOSE( CONTROL!$C$29, 18.1897, 18.1854) * CHOOSE(CONTROL!$C$12, $D$11, 100%, $F$11)</f>
        <v>18.189699999999998</v>
      </c>
      <c r="C657" s="8">
        <f>CHOOSE( CONTROL!$C$29, 18.2001, 18.1959) * CHOOSE(CONTROL!$C$12, $D$11, 100%, $F$11)</f>
        <v>18.200099999999999</v>
      </c>
      <c r="D657" s="8">
        <f>CHOOSE( CONTROL!$C$29, 18.178, 18.1738) * CHOOSE( CONTROL!$C$12, $D$11, 100%, $F$11)</f>
        <v>18.178000000000001</v>
      </c>
      <c r="E657" s="12">
        <f>CHOOSE( CONTROL!$C$29, 18.1844, 18.1802) * CHOOSE( CONTROL!$C$12, $D$11, 100%, $F$11)</f>
        <v>18.1844</v>
      </c>
      <c r="F657" s="4">
        <f>CHOOSE( CONTROL!$C$29, 19.1646, 19.1603) * CHOOSE(CONTROL!$C$12, $D$11, 100%, $F$11)</f>
        <v>19.1646</v>
      </c>
      <c r="G657" s="8">
        <f>CHOOSE( CONTROL!$C$29, 17.7067, 17.7026) * CHOOSE( CONTROL!$C$12, $D$11, 100%, $F$11)</f>
        <v>17.706700000000001</v>
      </c>
      <c r="H657" s="4">
        <f>CHOOSE( CONTROL!$C$29, 18.6048, 18.6007) * CHOOSE(CONTROL!$C$12, $D$11, 100%, $F$11)</f>
        <v>18.604800000000001</v>
      </c>
      <c r="I657" s="8">
        <f>CHOOSE( CONTROL!$C$29, 17.46, 17.4559) * CHOOSE(CONTROL!$C$12, $D$11, 100%, $F$11)</f>
        <v>17.46</v>
      </c>
      <c r="J657" s="4">
        <f>CHOOSE( CONTROL!$C$29, 17.4246, 17.4205) * CHOOSE(CONTROL!$C$12, $D$11, 100%, $F$11)</f>
        <v>17.424600000000002</v>
      </c>
      <c r="K657" s="4"/>
      <c r="L657" s="9">
        <v>29.520499999999998</v>
      </c>
      <c r="M657" s="9">
        <v>12.063700000000001</v>
      </c>
      <c r="N657" s="9">
        <v>4.9444999999999997</v>
      </c>
      <c r="O657" s="9">
        <v>0.37459999999999999</v>
      </c>
      <c r="P657" s="9">
        <v>1.2192000000000001</v>
      </c>
      <c r="Q657" s="9">
        <v>19.688099999999999</v>
      </c>
      <c r="R657" s="9"/>
      <c r="S657" s="11"/>
    </row>
    <row r="658" spans="1:19" ht="15.75">
      <c r="A658" s="13">
        <v>61909</v>
      </c>
      <c r="B658" s="8">
        <f>CHOOSE( CONTROL!$C$29, 17.8974, 17.8931) * CHOOSE(CONTROL!$C$12, $D$11, 100%, $F$11)</f>
        <v>17.897400000000001</v>
      </c>
      <c r="C658" s="8">
        <f>CHOOSE( CONTROL!$C$29, 17.9078, 17.9036) * CHOOSE(CONTROL!$C$12, $D$11, 100%, $F$11)</f>
        <v>17.907800000000002</v>
      </c>
      <c r="D658" s="8">
        <f>CHOOSE( CONTROL!$C$29, 17.8801, 17.8759) * CHOOSE( CONTROL!$C$12, $D$11, 100%, $F$11)</f>
        <v>17.880099999999999</v>
      </c>
      <c r="E658" s="12">
        <f>CHOOSE( CONTROL!$C$29, 17.8886, 17.8843) * CHOOSE( CONTROL!$C$12, $D$11, 100%, $F$11)</f>
        <v>17.8886</v>
      </c>
      <c r="F658" s="4">
        <f>CHOOSE( CONTROL!$C$29, 18.8618, 18.8576) * CHOOSE(CONTROL!$C$12, $D$11, 100%, $F$11)</f>
        <v>18.861799999999999</v>
      </c>
      <c r="G658" s="8">
        <f>CHOOSE( CONTROL!$C$29, 17.4206, 17.4164) * CHOOSE( CONTROL!$C$12, $D$11, 100%, $F$11)</f>
        <v>17.4206</v>
      </c>
      <c r="H658" s="4">
        <f>CHOOSE( CONTROL!$C$29, 18.3097, 18.3056) * CHOOSE(CONTROL!$C$12, $D$11, 100%, $F$11)</f>
        <v>18.309699999999999</v>
      </c>
      <c r="I658" s="8">
        <f>CHOOSE( CONTROL!$C$29, 17.182, 17.1779) * CHOOSE(CONTROL!$C$12, $D$11, 100%, $F$11)</f>
        <v>17.181999999999999</v>
      </c>
      <c r="J658" s="4">
        <f>CHOOSE( CONTROL!$C$29, 17.1445, 17.1405) * CHOOSE(CONTROL!$C$12, $D$11, 100%, $F$11)</f>
        <v>17.144500000000001</v>
      </c>
      <c r="K658" s="4"/>
      <c r="L658" s="9">
        <v>28.568200000000001</v>
      </c>
      <c r="M658" s="9">
        <v>11.6745</v>
      </c>
      <c r="N658" s="9">
        <v>4.7850000000000001</v>
      </c>
      <c r="O658" s="9">
        <v>0.36249999999999999</v>
      </c>
      <c r="P658" s="9">
        <v>1.1798</v>
      </c>
      <c r="Q658" s="9">
        <v>19.053000000000001</v>
      </c>
      <c r="R658" s="9"/>
      <c r="S658" s="11"/>
    </row>
    <row r="659" spans="1:19" ht="15.75">
      <c r="A659" s="13">
        <v>61940</v>
      </c>
      <c r="B659" s="8">
        <f>CHOOSE( CONTROL!$C$29, 18.6671, 18.6629) * CHOOSE(CONTROL!$C$12, $D$11, 100%, $F$11)</f>
        <v>18.667100000000001</v>
      </c>
      <c r="C659" s="8">
        <f>CHOOSE( CONTROL!$C$29, 18.6776, 18.6733) * CHOOSE(CONTROL!$C$12, $D$11, 100%, $F$11)</f>
        <v>18.677600000000002</v>
      </c>
      <c r="D659" s="8">
        <f>CHOOSE( CONTROL!$C$29, 18.6837, 18.6794) * CHOOSE( CONTROL!$C$12, $D$11, 100%, $F$11)</f>
        <v>18.683700000000002</v>
      </c>
      <c r="E659" s="12">
        <f>CHOOSE( CONTROL!$C$29, 18.6799, 18.6756) * CHOOSE( CONTROL!$C$12, $D$11, 100%, $F$11)</f>
        <v>18.6799</v>
      </c>
      <c r="F659" s="4">
        <f>CHOOSE( CONTROL!$C$29, 19.677, 19.6727) * CHOOSE(CONTROL!$C$12, $D$11, 100%, $F$11)</f>
        <v>19.677</v>
      </c>
      <c r="G659" s="8">
        <f>CHOOSE( CONTROL!$C$29, 18.1969, 18.1928) * CHOOSE( CONTROL!$C$12, $D$11, 100%, $F$11)</f>
        <v>18.196899999999999</v>
      </c>
      <c r="H659" s="4">
        <f>CHOOSE( CONTROL!$C$29, 19.1043, 19.1002) * CHOOSE(CONTROL!$C$12, $D$11, 100%, $F$11)</f>
        <v>19.104299999999999</v>
      </c>
      <c r="I659" s="8">
        <f>CHOOSE( CONTROL!$C$29, 17.9752, 17.9711) * CHOOSE(CONTROL!$C$12, $D$11, 100%, $F$11)</f>
        <v>17.975200000000001</v>
      </c>
      <c r="J659" s="4">
        <f>CHOOSE( CONTROL!$C$29, 17.8821, 17.878) * CHOOSE(CONTROL!$C$12, $D$11, 100%, $F$11)</f>
        <v>17.882100000000001</v>
      </c>
      <c r="K659" s="4"/>
      <c r="L659" s="9">
        <v>29.520499999999998</v>
      </c>
      <c r="M659" s="9">
        <v>12.063700000000001</v>
      </c>
      <c r="N659" s="9">
        <v>4.9444999999999997</v>
      </c>
      <c r="O659" s="9">
        <v>0.37459999999999999</v>
      </c>
      <c r="P659" s="9">
        <v>1.2192000000000001</v>
      </c>
      <c r="Q659" s="9">
        <v>19.688099999999999</v>
      </c>
      <c r="R659" s="9"/>
      <c r="S659" s="11"/>
    </row>
    <row r="660" spans="1:19" ht="15.75">
      <c r="A660" s="13">
        <v>61971</v>
      </c>
      <c r="B660" s="8">
        <f>CHOOSE( CONTROL!$C$29, 17.2269, 17.2226) * CHOOSE(CONTROL!$C$12, $D$11, 100%, $F$11)</f>
        <v>17.226900000000001</v>
      </c>
      <c r="C660" s="8">
        <f>CHOOSE( CONTROL!$C$29, 17.2373, 17.2331) * CHOOSE(CONTROL!$C$12, $D$11, 100%, $F$11)</f>
        <v>17.237300000000001</v>
      </c>
      <c r="D660" s="8">
        <f>CHOOSE( CONTROL!$C$29, 17.2599, 17.2557) * CHOOSE( CONTROL!$C$12, $D$11, 100%, $F$11)</f>
        <v>17.259899999999998</v>
      </c>
      <c r="E660" s="12">
        <f>CHOOSE( CONTROL!$C$29, 17.2501, 17.2459) * CHOOSE( CONTROL!$C$12, $D$11, 100%, $F$11)</f>
        <v>17.2501</v>
      </c>
      <c r="F660" s="4">
        <f>CHOOSE( CONTROL!$C$29, 18.2654, 18.2612) * CHOOSE(CONTROL!$C$12, $D$11, 100%, $F$11)</f>
        <v>18.2654</v>
      </c>
      <c r="G660" s="8">
        <f>CHOOSE( CONTROL!$C$29, 16.7986, 16.7945) * CHOOSE( CONTROL!$C$12, $D$11, 100%, $F$11)</f>
        <v>16.7986</v>
      </c>
      <c r="H660" s="4">
        <f>CHOOSE( CONTROL!$C$29, 17.7284, 17.7242) * CHOOSE(CONTROL!$C$12, $D$11, 100%, $F$11)</f>
        <v>17.728400000000001</v>
      </c>
      <c r="I660" s="8">
        <f>CHOOSE( CONTROL!$C$29, 16.5859, 16.5818) * CHOOSE(CONTROL!$C$12, $D$11, 100%, $F$11)</f>
        <v>16.585899999999999</v>
      </c>
      <c r="J660" s="4">
        <f>CHOOSE( CONTROL!$C$29, 16.502, 16.498) * CHOOSE(CONTROL!$C$12, $D$11, 100%, $F$11)</f>
        <v>16.501999999999999</v>
      </c>
      <c r="K660" s="4"/>
      <c r="L660" s="9">
        <v>29.520499999999998</v>
      </c>
      <c r="M660" s="9">
        <v>12.063700000000001</v>
      </c>
      <c r="N660" s="9">
        <v>4.9444999999999997</v>
      </c>
      <c r="O660" s="9">
        <v>0.37459999999999999</v>
      </c>
      <c r="P660" s="9">
        <v>1.2192000000000001</v>
      </c>
      <c r="Q660" s="9">
        <v>19.688099999999999</v>
      </c>
      <c r="R660" s="9"/>
      <c r="S660" s="11"/>
    </row>
    <row r="661" spans="1:19" ht="15.75">
      <c r="A661" s="13">
        <v>62001</v>
      </c>
      <c r="B661" s="8">
        <f>CHOOSE( CONTROL!$C$29, 16.8662, 16.862) * CHOOSE(CONTROL!$C$12, $D$11, 100%, $F$11)</f>
        <v>16.866199999999999</v>
      </c>
      <c r="C661" s="8">
        <f>CHOOSE( CONTROL!$C$29, 16.8766, 16.8724) * CHOOSE(CONTROL!$C$12, $D$11, 100%, $F$11)</f>
        <v>16.8766</v>
      </c>
      <c r="D661" s="8">
        <f>CHOOSE( CONTROL!$C$29, 16.8992, 16.895) * CHOOSE( CONTROL!$C$12, $D$11, 100%, $F$11)</f>
        <v>16.8992</v>
      </c>
      <c r="E661" s="12">
        <f>CHOOSE( CONTROL!$C$29, 16.8894, 16.8852) * CHOOSE( CONTROL!$C$12, $D$11, 100%, $F$11)</f>
        <v>16.889399999999998</v>
      </c>
      <c r="F661" s="4">
        <f>CHOOSE( CONTROL!$C$29, 17.9048, 17.9005) * CHOOSE(CONTROL!$C$12, $D$11, 100%, $F$11)</f>
        <v>17.904800000000002</v>
      </c>
      <c r="G661" s="8">
        <f>CHOOSE( CONTROL!$C$29, 16.4467, 16.4426) * CHOOSE( CONTROL!$C$12, $D$11, 100%, $F$11)</f>
        <v>16.4467</v>
      </c>
      <c r="H661" s="4">
        <f>CHOOSE( CONTROL!$C$29, 17.3768, 17.3727) * CHOOSE(CONTROL!$C$12, $D$11, 100%, $F$11)</f>
        <v>17.376799999999999</v>
      </c>
      <c r="I661" s="8">
        <f>CHOOSE( CONTROL!$C$29, 16.2384, 16.2344) * CHOOSE(CONTROL!$C$12, $D$11, 100%, $F$11)</f>
        <v>16.238399999999999</v>
      </c>
      <c r="J661" s="4">
        <f>CHOOSE( CONTROL!$C$29, 16.1564, 16.1524) * CHOOSE(CONTROL!$C$12, $D$11, 100%, $F$11)</f>
        <v>16.156400000000001</v>
      </c>
      <c r="K661" s="4"/>
      <c r="L661" s="9">
        <v>28.568200000000001</v>
      </c>
      <c r="M661" s="9">
        <v>11.6745</v>
      </c>
      <c r="N661" s="9">
        <v>4.7850000000000001</v>
      </c>
      <c r="O661" s="9">
        <v>0.36249999999999999</v>
      </c>
      <c r="P661" s="9">
        <v>1.1798</v>
      </c>
      <c r="Q661" s="9">
        <v>19.053000000000001</v>
      </c>
      <c r="R661" s="9"/>
      <c r="S661" s="11"/>
    </row>
    <row r="662" spans="1:19" ht="15.75">
      <c r="A662" s="13">
        <v>62032</v>
      </c>
      <c r="B662" s="8">
        <f>17.6108 * CHOOSE(CONTROL!$C$12, $D$11, 100%, $F$11)</f>
        <v>17.610800000000001</v>
      </c>
      <c r="C662" s="8">
        <f>17.6212 * CHOOSE(CONTROL!$C$12, $D$11, 100%, $F$11)</f>
        <v>17.621200000000002</v>
      </c>
      <c r="D662" s="8">
        <f>17.6257 * CHOOSE( CONTROL!$C$12, $D$11, 100%, $F$11)</f>
        <v>17.625699999999998</v>
      </c>
      <c r="E662" s="12">
        <f>17.6231 * CHOOSE( CONTROL!$C$12, $D$11, 100%, $F$11)</f>
        <v>17.623100000000001</v>
      </c>
      <c r="F662" s="4">
        <f>18.6181 * CHOOSE(CONTROL!$C$12, $D$11, 100%, $F$11)</f>
        <v>18.618099999999998</v>
      </c>
      <c r="G662" s="8">
        <f>17.1628 * CHOOSE( CONTROL!$C$12, $D$11, 100%, $F$11)</f>
        <v>17.162800000000001</v>
      </c>
      <c r="H662" s="4">
        <f>18.0721 * CHOOSE(CONTROL!$C$12, $D$11, 100%, $F$11)</f>
        <v>18.072099999999999</v>
      </c>
      <c r="I662" s="8">
        <f>16.9489 * CHOOSE(CONTROL!$C$12, $D$11, 100%, $F$11)</f>
        <v>16.948899999999998</v>
      </c>
      <c r="J662" s="4">
        <f>16.8699 * CHOOSE(CONTROL!$C$12, $D$11, 100%, $F$11)</f>
        <v>16.869900000000001</v>
      </c>
      <c r="K662" s="4"/>
      <c r="L662" s="9">
        <v>28.921800000000001</v>
      </c>
      <c r="M662" s="9">
        <v>12.063700000000001</v>
      </c>
      <c r="N662" s="9">
        <v>4.9444999999999997</v>
      </c>
      <c r="O662" s="9">
        <v>0.37459999999999999</v>
      </c>
      <c r="P662" s="9">
        <v>1.2192000000000001</v>
      </c>
      <c r="Q662" s="9">
        <v>19.688099999999999</v>
      </c>
      <c r="R662" s="9"/>
      <c r="S662" s="11"/>
    </row>
    <row r="663" spans="1:19" ht="15.75">
      <c r="A663" s="13">
        <v>62062</v>
      </c>
      <c r="B663" s="8">
        <f>18.993 * CHOOSE(CONTROL!$C$12, $D$11, 100%, $F$11)</f>
        <v>18.992999999999999</v>
      </c>
      <c r="C663" s="8">
        <f>19.0035 * CHOOSE(CONTROL!$C$12, $D$11, 100%, $F$11)</f>
        <v>19.003499999999999</v>
      </c>
      <c r="D663" s="8">
        <f>18.9859 * CHOOSE( CONTROL!$C$12, $D$11, 100%, $F$11)</f>
        <v>18.985900000000001</v>
      </c>
      <c r="E663" s="12">
        <f>18.9912 * CHOOSE( CONTROL!$C$12, $D$11, 100%, $F$11)</f>
        <v>18.991199999999999</v>
      </c>
      <c r="F663" s="4">
        <f>19.9872 * CHOOSE(CONTROL!$C$12, $D$11, 100%, $F$11)</f>
        <v>19.987200000000001</v>
      </c>
      <c r="G663" s="8">
        <f>18.5226 * CHOOSE( CONTROL!$C$12, $D$11, 100%, $F$11)</f>
        <v>18.522600000000001</v>
      </c>
      <c r="H663" s="4">
        <f>19.4067 * CHOOSE(CONTROL!$C$12, $D$11, 100%, $F$11)</f>
        <v>19.406700000000001</v>
      </c>
      <c r="I663" s="8">
        <f>18.2975 * CHOOSE(CONTROL!$C$12, $D$11, 100%, $F$11)</f>
        <v>18.297499999999999</v>
      </c>
      <c r="J663" s="4">
        <f>18.1944 * CHOOSE(CONTROL!$C$12, $D$11, 100%, $F$11)</f>
        <v>18.194400000000002</v>
      </c>
      <c r="K663" s="4"/>
      <c r="L663" s="9">
        <v>26.515499999999999</v>
      </c>
      <c r="M663" s="9">
        <v>11.6745</v>
      </c>
      <c r="N663" s="9">
        <v>4.7850000000000001</v>
      </c>
      <c r="O663" s="9">
        <v>0.36249999999999999</v>
      </c>
      <c r="P663" s="9">
        <v>1.2522</v>
      </c>
      <c r="Q663" s="9">
        <v>19.053000000000001</v>
      </c>
      <c r="R663" s="9"/>
      <c r="S663" s="11"/>
    </row>
    <row r="664" spans="1:19" ht="15.75">
      <c r="A664" s="13">
        <v>62093</v>
      </c>
      <c r="B664" s="8">
        <f>18.9585 * CHOOSE(CONTROL!$C$12, $D$11, 100%, $F$11)</f>
        <v>18.958500000000001</v>
      </c>
      <c r="C664" s="8">
        <f>18.9689 * CHOOSE(CONTROL!$C$12, $D$11, 100%, $F$11)</f>
        <v>18.968900000000001</v>
      </c>
      <c r="D664" s="8">
        <f>18.9533 * CHOOSE( CONTROL!$C$12, $D$11, 100%, $F$11)</f>
        <v>18.953299999999999</v>
      </c>
      <c r="E664" s="12">
        <f>18.9579 * CHOOSE( CONTROL!$C$12, $D$11, 100%, $F$11)</f>
        <v>18.957899999999999</v>
      </c>
      <c r="F664" s="4">
        <f>19.9527 * CHOOSE(CONTROL!$C$12, $D$11, 100%, $F$11)</f>
        <v>19.9527</v>
      </c>
      <c r="G664" s="8">
        <f>18.4905 * CHOOSE( CONTROL!$C$12, $D$11, 100%, $F$11)</f>
        <v>18.490500000000001</v>
      </c>
      <c r="H664" s="4">
        <f>19.3731 * CHOOSE(CONTROL!$C$12, $D$11, 100%, $F$11)</f>
        <v>19.373100000000001</v>
      </c>
      <c r="I664" s="8">
        <f>18.2716 * CHOOSE(CONTROL!$C$12, $D$11, 100%, $F$11)</f>
        <v>18.271599999999999</v>
      </c>
      <c r="J664" s="4">
        <f>18.1613 * CHOOSE(CONTROL!$C$12, $D$11, 100%, $F$11)</f>
        <v>18.161300000000001</v>
      </c>
      <c r="K664" s="4"/>
      <c r="L664" s="9">
        <v>27.3993</v>
      </c>
      <c r="M664" s="9">
        <v>12.063700000000001</v>
      </c>
      <c r="N664" s="9">
        <v>4.9444999999999997</v>
      </c>
      <c r="O664" s="9">
        <v>0.37459999999999999</v>
      </c>
      <c r="P664" s="9">
        <v>1.2939000000000001</v>
      </c>
      <c r="Q664" s="9">
        <v>19.688099999999999</v>
      </c>
      <c r="R664" s="9"/>
      <c r="S664" s="11"/>
    </row>
    <row r="665" spans="1:19" ht="15.75">
      <c r="A665" s="13">
        <v>62124</v>
      </c>
      <c r="B665" s="8">
        <f>19.6829 * CHOOSE(CONTROL!$C$12, $D$11, 100%, $F$11)</f>
        <v>19.6829</v>
      </c>
      <c r="C665" s="8">
        <f>19.6933 * CHOOSE(CONTROL!$C$12, $D$11, 100%, $F$11)</f>
        <v>19.693300000000001</v>
      </c>
      <c r="D665" s="8">
        <f>19.691 * CHOOSE( CONTROL!$C$12, $D$11, 100%, $F$11)</f>
        <v>19.690999999999999</v>
      </c>
      <c r="E665" s="12">
        <f>19.6907 * CHOOSE( CONTROL!$C$12, $D$11, 100%, $F$11)</f>
        <v>19.6907</v>
      </c>
      <c r="F665" s="4">
        <f>20.7058 * CHOOSE(CONTROL!$C$12, $D$11, 100%, $F$11)</f>
        <v>20.7058</v>
      </c>
      <c r="G665" s="8">
        <f>19.2138 * CHOOSE( CONTROL!$C$12, $D$11, 100%, $F$11)</f>
        <v>19.213799999999999</v>
      </c>
      <c r="H665" s="4">
        <f>20.1072 * CHOOSE(CONTROL!$C$12, $D$11, 100%, $F$11)</f>
        <v>20.107199999999999</v>
      </c>
      <c r="I665" s="8">
        <f>18.9734 * CHOOSE(CONTROL!$C$12, $D$11, 100%, $F$11)</f>
        <v>18.973400000000002</v>
      </c>
      <c r="J665" s="4">
        <f>18.8554 * CHOOSE(CONTROL!$C$12, $D$11, 100%, $F$11)</f>
        <v>18.855399999999999</v>
      </c>
      <c r="K665" s="4"/>
      <c r="L665" s="9">
        <v>27.3993</v>
      </c>
      <c r="M665" s="9">
        <v>12.063700000000001</v>
      </c>
      <c r="N665" s="9">
        <v>4.9444999999999997</v>
      </c>
      <c r="O665" s="9">
        <v>0.37459999999999999</v>
      </c>
      <c r="P665" s="9">
        <v>1.2939000000000001</v>
      </c>
      <c r="Q665" s="9">
        <v>19.688099999999999</v>
      </c>
      <c r="R665" s="9"/>
      <c r="S665" s="11"/>
    </row>
    <row r="666" spans="1:19" ht="15.75">
      <c r="A666" s="13">
        <v>62152</v>
      </c>
      <c r="B666" s="8">
        <f>18.4107 * CHOOSE(CONTROL!$C$12, $D$11, 100%, $F$11)</f>
        <v>18.410699999999999</v>
      </c>
      <c r="C666" s="8">
        <f>18.4212 * CHOOSE(CONTROL!$C$12, $D$11, 100%, $F$11)</f>
        <v>18.421199999999999</v>
      </c>
      <c r="D666" s="8">
        <f>18.4211 * CHOOSE( CONTROL!$C$12, $D$11, 100%, $F$11)</f>
        <v>18.421099999999999</v>
      </c>
      <c r="E666" s="12">
        <f>18.42 * CHOOSE( CONTROL!$C$12, $D$11, 100%, $F$11)</f>
        <v>18.420000000000002</v>
      </c>
      <c r="F666" s="4">
        <f>19.4258 * CHOOSE(CONTROL!$C$12, $D$11, 100%, $F$11)</f>
        <v>19.425799999999999</v>
      </c>
      <c r="G666" s="8">
        <f>17.9736 * CHOOSE( CONTROL!$C$12, $D$11, 100%, $F$11)</f>
        <v>17.973600000000001</v>
      </c>
      <c r="H666" s="4">
        <f>18.8595 * CHOOSE(CONTROL!$C$12, $D$11, 100%, $F$11)</f>
        <v>18.859500000000001</v>
      </c>
      <c r="I666" s="8">
        <f>17.7429 * CHOOSE(CONTROL!$C$12, $D$11, 100%, $F$11)</f>
        <v>17.742899999999999</v>
      </c>
      <c r="J666" s="4">
        <f>17.6364 * CHOOSE(CONTROL!$C$12, $D$11, 100%, $F$11)</f>
        <v>17.636399999999998</v>
      </c>
      <c r="K666" s="4"/>
      <c r="L666" s="9">
        <v>24.747800000000002</v>
      </c>
      <c r="M666" s="9">
        <v>10.8962</v>
      </c>
      <c r="N666" s="9">
        <v>4.4660000000000002</v>
      </c>
      <c r="O666" s="9">
        <v>0.33829999999999999</v>
      </c>
      <c r="P666" s="9">
        <v>1.1687000000000001</v>
      </c>
      <c r="Q666" s="9">
        <v>17.782800000000002</v>
      </c>
      <c r="R666" s="9"/>
      <c r="S666" s="11"/>
    </row>
    <row r="667" spans="1:19" ht="15.75">
      <c r="A667" s="13">
        <v>62183</v>
      </c>
      <c r="B667" s="8">
        <f>18.0189 * CHOOSE(CONTROL!$C$12, $D$11, 100%, $F$11)</f>
        <v>18.018899999999999</v>
      </c>
      <c r="C667" s="8">
        <f>18.0294 * CHOOSE(CONTROL!$C$12, $D$11, 100%, $F$11)</f>
        <v>18.029399999999999</v>
      </c>
      <c r="D667" s="8">
        <f>18.0092 * CHOOSE( CONTROL!$C$12, $D$11, 100%, $F$11)</f>
        <v>18.0092</v>
      </c>
      <c r="E667" s="12">
        <f>18.0155 * CHOOSE( CONTROL!$C$12, $D$11, 100%, $F$11)</f>
        <v>18.015499999999999</v>
      </c>
      <c r="F667" s="4">
        <f>19.0178 * CHOOSE(CONTROL!$C$12, $D$11, 100%, $F$11)</f>
        <v>19.017800000000001</v>
      </c>
      <c r="G667" s="8">
        <f>17.5712 * CHOOSE( CONTROL!$C$12, $D$11, 100%, $F$11)</f>
        <v>17.571200000000001</v>
      </c>
      <c r="H667" s="4">
        <f>18.4618 * CHOOSE(CONTROL!$C$12, $D$11, 100%, $F$11)</f>
        <v>18.4618</v>
      </c>
      <c r="I667" s="8">
        <f>17.3278 * CHOOSE(CONTROL!$C$12, $D$11, 100%, $F$11)</f>
        <v>17.3278</v>
      </c>
      <c r="J667" s="4">
        <f>17.261 * CHOOSE(CONTROL!$C$12, $D$11, 100%, $F$11)</f>
        <v>17.260999999999999</v>
      </c>
      <c r="K667" s="4"/>
      <c r="L667" s="9">
        <v>27.3993</v>
      </c>
      <c r="M667" s="9">
        <v>12.063700000000001</v>
      </c>
      <c r="N667" s="9">
        <v>4.9444999999999997</v>
      </c>
      <c r="O667" s="9">
        <v>0.37459999999999999</v>
      </c>
      <c r="P667" s="9">
        <v>1.2939000000000001</v>
      </c>
      <c r="Q667" s="9">
        <v>19.688099999999999</v>
      </c>
      <c r="R667" s="9"/>
      <c r="S667" s="11"/>
    </row>
    <row r="668" spans="1:19" ht="15.75">
      <c r="A668" s="13">
        <v>62213</v>
      </c>
      <c r="B668" s="8">
        <f>18.2927 * CHOOSE(CONTROL!$C$12, $D$11, 100%, $F$11)</f>
        <v>18.2927</v>
      </c>
      <c r="C668" s="8">
        <f>18.3032 * CHOOSE(CONTROL!$C$12, $D$11, 100%, $F$11)</f>
        <v>18.3032</v>
      </c>
      <c r="D668" s="8">
        <f>18.3064 * CHOOSE( CONTROL!$C$12, $D$11, 100%, $F$11)</f>
        <v>18.3064</v>
      </c>
      <c r="E668" s="12">
        <f>18.3041 * CHOOSE( CONTROL!$C$12, $D$11, 100%, $F$11)</f>
        <v>18.304099999999998</v>
      </c>
      <c r="F668" s="4">
        <f>19.3 * CHOOSE(CONTROL!$C$12, $D$11, 100%, $F$11)</f>
        <v>19.3</v>
      </c>
      <c r="G668" s="8">
        <f>17.826 * CHOOSE( CONTROL!$C$12, $D$11, 100%, $F$11)</f>
        <v>17.826000000000001</v>
      </c>
      <c r="H668" s="4">
        <f>18.7368 * CHOOSE(CONTROL!$C$12, $D$11, 100%, $F$11)</f>
        <v>18.736799999999999</v>
      </c>
      <c r="I668" s="8">
        <f>17.5803 * CHOOSE(CONTROL!$C$12, $D$11, 100%, $F$11)</f>
        <v>17.580300000000001</v>
      </c>
      <c r="J668" s="4">
        <f>17.5233 * CHOOSE(CONTROL!$C$12, $D$11, 100%, $F$11)</f>
        <v>17.523299999999999</v>
      </c>
      <c r="K668" s="4"/>
      <c r="L668" s="9">
        <v>27.988800000000001</v>
      </c>
      <c r="M668" s="9">
        <v>11.6745</v>
      </c>
      <c r="N668" s="9">
        <v>4.7850000000000001</v>
      </c>
      <c r="O668" s="9">
        <v>0.36249999999999999</v>
      </c>
      <c r="P668" s="9">
        <v>1.1798</v>
      </c>
      <c r="Q668" s="9">
        <v>19.053000000000001</v>
      </c>
      <c r="R668" s="9"/>
      <c r="S668" s="11"/>
    </row>
    <row r="669" spans="1:19" ht="15.75">
      <c r="A669" s="13">
        <v>62244</v>
      </c>
      <c r="B669" s="8">
        <f>CHOOSE( CONTROL!$C$29, 18.7843, 18.78) * CHOOSE(CONTROL!$C$12, $D$11, 100%, $F$11)</f>
        <v>18.784300000000002</v>
      </c>
      <c r="C669" s="8">
        <f>CHOOSE( CONTROL!$C$29, 18.7947, 18.7904) * CHOOSE(CONTROL!$C$12, $D$11, 100%, $F$11)</f>
        <v>18.794699999999999</v>
      </c>
      <c r="D669" s="8">
        <f>CHOOSE( CONTROL!$C$29, 18.7726, 18.7684) * CHOOSE( CONTROL!$C$12, $D$11, 100%, $F$11)</f>
        <v>18.772600000000001</v>
      </c>
      <c r="E669" s="12">
        <f>CHOOSE( CONTROL!$C$29, 18.779, 18.7748) * CHOOSE( CONTROL!$C$12, $D$11, 100%, $F$11)</f>
        <v>18.779</v>
      </c>
      <c r="F669" s="4">
        <f>CHOOSE( CONTROL!$C$29, 19.7592, 19.7549) * CHOOSE(CONTROL!$C$12, $D$11, 100%, $F$11)</f>
        <v>19.7592</v>
      </c>
      <c r="G669" s="8">
        <f>CHOOSE( CONTROL!$C$29, 18.2863, 18.2822) * CHOOSE( CONTROL!$C$12, $D$11, 100%, $F$11)</f>
        <v>18.286300000000001</v>
      </c>
      <c r="H669" s="4">
        <f>CHOOSE( CONTROL!$C$29, 19.1844, 19.1803) * CHOOSE(CONTROL!$C$12, $D$11, 100%, $F$11)</f>
        <v>19.1844</v>
      </c>
      <c r="I669" s="8">
        <f>CHOOSE( CONTROL!$C$29, 18.03, 18.0259) * CHOOSE(CONTROL!$C$12, $D$11, 100%, $F$11)</f>
        <v>18.03</v>
      </c>
      <c r="J669" s="4">
        <f>CHOOSE( CONTROL!$C$29, 17.9943, 17.9902) * CHOOSE(CONTROL!$C$12, $D$11, 100%, $F$11)</f>
        <v>17.994299999999999</v>
      </c>
      <c r="K669" s="4"/>
      <c r="L669" s="9">
        <v>29.520499999999998</v>
      </c>
      <c r="M669" s="9">
        <v>12.063700000000001</v>
      </c>
      <c r="N669" s="9">
        <v>4.9444999999999997</v>
      </c>
      <c r="O669" s="9">
        <v>0.37459999999999999</v>
      </c>
      <c r="P669" s="9">
        <v>1.2192000000000001</v>
      </c>
      <c r="Q669" s="9">
        <v>19.688099999999999</v>
      </c>
      <c r="R669" s="9"/>
      <c r="S669" s="11"/>
    </row>
    <row r="670" spans="1:19" ht="15.75">
      <c r="A670" s="13">
        <v>62274</v>
      </c>
      <c r="B670" s="8">
        <f>CHOOSE( CONTROL!$C$29, 18.4824, 18.4782) * CHOOSE(CONTROL!$C$12, $D$11, 100%, $F$11)</f>
        <v>18.482399999999998</v>
      </c>
      <c r="C670" s="8">
        <f>CHOOSE( CONTROL!$C$29, 18.4928, 18.4886) * CHOOSE(CONTROL!$C$12, $D$11, 100%, $F$11)</f>
        <v>18.492799999999999</v>
      </c>
      <c r="D670" s="8">
        <f>CHOOSE( CONTROL!$C$29, 18.4652, 18.4609) * CHOOSE( CONTROL!$C$12, $D$11, 100%, $F$11)</f>
        <v>18.465199999999999</v>
      </c>
      <c r="E670" s="12">
        <f>CHOOSE( CONTROL!$C$29, 18.4736, 18.4694) * CHOOSE( CONTROL!$C$12, $D$11, 100%, $F$11)</f>
        <v>18.473600000000001</v>
      </c>
      <c r="F670" s="4">
        <f>CHOOSE( CONTROL!$C$29, 19.4469, 19.4426) * CHOOSE(CONTROL!$C$12, $D$11, 100%, $F$11)</f>
        <v>19.446899999999999</v>
      </c>
      <c r="G670" s="8">
        <f>CHOOSE( CONTROL!$C$29, 17.9908, 17.9867) * CHOOSE( CONTROL!$C$12, $D$11, 100%, $F$11)</f>
        <v>17.9908</v>
      </c>
      <c r="H670" s="4">
        <f>CHOOSE( CONTROL!$C$29, 18.88, 18.8759) * CHOOSE(CONTROL!$C$12, $D$11, 100%, $F$11)</f>
        <v>18.88</v>
      </c>
      <c r="I670" s="8">
        <f>CHOOSE( CONTROL!$C$29, 17.7428, 17.7387) * CHOOSE(CONTROL!$C$12, $D$11, 100%, $F$11)</f>
        <v>17.742799999999999</v>
      </c>
      <c r="J670" s="4">
        <f>CHOOSE( CONTROL!$C$29, 17.7051, 17.701) * CHOOSE(CONTROL!$C$12, $D$11, 100%, $F$11)</f>
        <v>17.705100000000002</v>
      </c>
      <c r="K670" s="4"/>
      <c r="L670" s="9">
        <v>28.568200000000001</v>
      </c>
      <c r="M670" s="9">
        <v>11.6745</v>
      </c>
      <c r="N670" s="9">
        <v>4.7850000000000001</v>
      </c>
      <c r="O670" s="9">
        <v>0.36249999999999999</v>
      </c>
      <c r="P670" s="9">
        <v>1.1798</v>
      </c>
      <c r="Q670" s="9">
        <v>19.053000000000001</v>
      </c>
      <c r="R670" s="9"/>
      <c r="S670" s="11"/>
    </row>
    <row r="671" spans="1:19" ht="15.75">
      <c r="A671" s="13">
        <v>62305</v>
      </c>
      <c r="B671" s="8">
        <f>CHOOSE( CONTROL!$C$29, 19.2773, 19.2731) * CHOOSE(CONTROL!$C$12, $D$11, 100%, $F$11)</f>
        <v>19.2773</v>
      </c>
      <c r="C671" s="8">
        <f>CHOOSE( CONTROL!$C$29, 19.2877, 19.2835) * CHOOSE(CONTROL!$C$12, $D$11, 100%, $F$11)</f>
        <v>19.287700000000001</v>
      </c>
      <c r="D671" s="8">
        <f>CHOOSE( CONTROL!$C$29, 19.2939, 19.2896) * CHOOSE( CONTROL!$C$12, $D$11, 100%, $F$11)</f>
        <v>19.293900000000001</v>
      </c>
      <c r="E671" s="12">
        <f>CHOOSE( CONTROL!$C$29, 19.2901, 19.2858) * CHOOSE( CONTROL!$C$12, $D$11, 100%, $F$11)</f>
        <v>19.290099999999999</v>
      </c>
      <c r="F671" s="4">
        <f>CHOOSE( CONTROL!$C$29, 20.2872, 20.2829) * CHOOSE(CONTROL!$C$12, $D$11, 100%, $F$11)</f>
        <v>20.287199999999999</v>
      </c>
      <c r="G671" s="8">
        <f>CHOOSE( CONTROL!$C$29, 18.7917, 18.7876) * CHOOSE( CONTROL!$C$12, $D$11, 100%, $F$11)</f>
        <v>18.791699999999999</v>
      </c>
      <c r="H671" s="4">
        <f>CHOOSE( CONTROL!$C$29, 19.6991, 19.695) * CHOOSE(CONTROL!$C$12, $D$11, 100%, $F$11)</f>
        <v>19.699100000000001</v>
      </c>
      <c r="I671" s="8">
        <f>CHOOSE( CONTROL!$C$29, 18.5601, 18.5561) * CHOOSE(CONTROL!$C$12, $D$11, 100%, $F$11)</f>
        <v>18.560099999999998</v>
      </c>
      <c r="J671" s="4">
        <f>CHOOSE( CONTROL!$C$29, 18.4668, 18.4627) * CHOOSE(CONTROL!$C$12, $D$11, 100%, $F$11)</f>
        <v>18.466799999999999</v>
      </c>
      <c r="K671" s="4"/>
      <c r="L671" s="9">
        <v>29.520499999999998</v>
      </c>
      <c r="M671" s="9">
        <v>12.063700000000001</v>
      </c>
      <c r="N671" s="9">
        <v>4.9444999999999997</v>
      </c>
      <c r="O671" s="9">
        <v>0.37459999999999999</v>
      </c>
      <c r="P671" s="9">
        <v>1.2192000000000001</v>
      </c>
      <c r="Q671" s="9">
        <v>19.688099999999999</v>
      </c>
      <c r="R671" s="9"/>
      <c r="S671" s="11"/>
    </row>
    <row r="672" spans="1:19" ht="15.75">
      <c r="A672" s="13">
        <v>62336</v>
      </c>
      <c r="B672" s="8">
        <f>CHOOSE( CONTROL!$C$29, 17.7899, 17.7857) * CHOOSE(CONTROL!$C$12, $D$11, 100%, $F$11)</f>
        <v>17.789899999999999</v>
      </c>
      <c r="C672" s="8">
        <f>CHOOSE( CONTROL!$C$29, 17.8004, 17.7961) * CHOOSE(CONTROL!$C$12, $D$11, 100%, $F$11)</f>
        <v>17.8004</v>
      </c>
      <c r="D672" s="8">
        <f>CHOOSE( CONTROL!$C$29, 17.823, 17.8187) * CHOOSE( CONTROL!$C$12, $D$11, 100%, $F$11)</f>
        <v>17.823</v>
      </c>
      <c r="E672" s="12">
        <f>CHOOSE( CONTROL!$C$29, 17.8132, 17.8089) * CHOOSE( CONTROL!$C$12, $D$11, 100%, $F$11)</f>
        <v>17.813199999999998</v>
      </c>
      <c r="F672" s="4">
        <f>CHOOSE( CONTROL!$C$29, 18.8285, 18.8243) * CHOOSE(CONTROL!$C$12, $D$11, 100%, $F$11)</f>
        <v>18.828499999999998</v>
      </c>
      <c r="G672" s="8">
        <f>CHOOSE( CONTROL!$C$29, 17.3475, 17.3433) * CHOOSE( CONTROL!$C$12, $D$11, 100%, $F$11)</f>
        <v>17.3475</v>
      </c>
      <c r="H672" s="4">
        <f>CHOOSE( CONTROL!$C$29, 18.2772, 18.2731) * CHOOSE(CONTROL!$C$12, $D$11, 100%, $F$11)</f>
        <v>18.277200000000001</v>
      </c>
      <c r="I672" s="8">
        <f>CHOOSE( CONTROL!$C$29, 17.1257, 17.1216) * CHOOSE(CONTROL!$C$12, $D$11, 100%, $F$11)</f>
        <v>17.125699999999998</v>
      </c>
      <c r="J672" s="4">
        <f>CHOOSE( CONTROL!$C$29, 17.0416, 17.0375) * CHOOSE(CONTROL!$C$12, $D$11, 100%, $F$11)</f>
        <v>17.041599999999999</v>
      </c>
      <c r="K672" s="4"/>
      <c r="L672" s="9">
        <v>29.520499999999998</v>
      </c>
      <c r="M672" s="9">
        <v>12.063700000000001</v>
      </c>
      <c r="N672" s="9">
        <v>4.9444999999999997</v>
      </c>
      <c r="O672" s="9">
        <v>0.37459999999999999</v>
      </c>
      <c r="P672" s="9">
        <v>1.2192000000000001</v>
      </c>
      <c r="Q672" s="9">
        <v>19.688099999999999</v>
      </c>
      <c r="R672" s="9"/>
      <c r="S672" s="11"/>
    </row>
    <row r="673" spans="1:19" ht="15.75">
      <c r="A673" s="13">
        <v>62366</v>
      </c>
      <c r="B673" s="8">
        <f>CHOOSE( CONTROL!$C$29, 17.4175, 17.4133) * CHOOSE(CONTROL!$C$12, $D$11, 100%, $F$11)</f>
        <v>17.4175</v>
      </c>
      <c r="C673" s="8">
        <f>CHOOSE( CONTROL!$C$29, 17.4279, 17.4237) * CHOOSE(CONTROL!$C$12, $D$11, 100%, $F$11)</f>
        <v>17.427900000000001</v>
      </c>
      <c r="D673" s="8">
        <f>CHOOSE( CONTROL!$C$29, 17.4505, 17.4463) * CHOOSE( CONTROL!$C$12, $D$11, 100%, $F$11)</f>
        <v>17.450500000000002</v>
      </c>
      <c r="E673" s="12">
        <f>CHOOSE( CONTROL!$C$29, 17.4407, 17.4365) * CHOOSE( CONTROL!$C$12, $D$11, 100%, $F$11)</f>
        <v>17.4407</v>
      </c>
      <c r="F673" s="4">
        <f>CHOOSE( CONTROL!$C$29, 18.4561, 18.4518) * CHOOSE(CONTROL!$C$12, $D$11, 100%, $F$11)</f>
        <v>18.456099999999999</v>
      </c>
      <c r="G673" s="8">
        <f>CHOOSE( CONTROL!$C$29, 16.9841, 16.98) * CHOOSE( CONTROL!$C$12, $D$11, 100%, $F$11)</f>
        <v>16.984100000000002</v>
      </c>
      <c r="H673" s="4">
        <f>CHOOSE( CONTROL!$C$29, 17.9142, 17.9101) * CHOOSE(CONTROL!$C$12, $D$11, 100%, $F$11)</f>
        <v>17.914200000000001</v>
      </c>
      <c r="I673" s="8">
        <f>CHOOSE( CONTROL!$C$29, 16.7669, 16.7629) * CHOOSE(CONTROL!$C$12, $D$11, 100%, $F$11)</f>
        <v>16.7669</v>
      </c>
      <c r="J673" s="4">
        <f>CHOOSE( CONTROL!$C$29, 16.6847, 16.6806) * CHOOSE(CONTROL!$C$12, $D$11, 100%, $F$11)</f>
        <v>16.684699999999999</v>
      </c>
      <c r="K673" s="4"/>
      <c r="L673" s="9">
        <v>28.568200000000001</v>
      </c>
      <c r="M673" s="9">
        <v>11.6745</v>
      </c>
      <c r="N673" s="9">
        <v>4.7850000000000001</v>
      </c>
      <c r="O673" s="9">
        <v>0.36249999999999999</v>
      </c>
      <c r="P673" s="9">
        <v>1.1798</v>
      </c>
      <c r="Q673" s="9">
        <v>19.053000000000001</v>
      </c>
      <c r="R673" s="9"/>
      <c r="S673" s="11"/>
    </row>
    <row r="674" spans="1:19" ht="15.75">
      <c r="A674" s="13">
        <v>62397</v>
      </c>
      <c r="B674" s="8">
        <f>18.1866 * CHOOSE(CONTROL!$C$12, $D$11, 100%, $F$11)</f>
        <v>18.186599999999999</v>
      </c>
      <c r="C674" s="8">
        <f>18.197 * CHOOSE(CONTROL!$C$12, $D$11, 100%, $F$11)</f>
        <v>18.196999999999999</v>
      </c>
      <c r="D674" s="8">
        <f>18.2015 * CHOOSE( CONTROL!$C$12, $D$11, 100%, $F$11)</f>
        <v>18.201499999999999</v>
      </c>
      <c r="E674" s="12">
        <f>18.1989 * CHOOSE( CONTROL!$C$12, $D$11, 100%, $F$11)</f>
        <v>18.198899999999998</v>
      </c>
      <c r="F674" s="4">
        <f>19.1938 * CHOOSE(CONTROL!$C$12, $D$11, 100%, $F$11)</f>
        <v>19.1938</v>
      </c>
      <c r="G674" s="8">
        <f>17.7241 * CHOOSE( CONTROL!$C$12, $D$11, 100%, $F$11)</f>
        <v>17.7241</v>
      </c>
      <c r="H674" s="4">
        <f>18.6334 * CHOOSE(CONTROL!$C$12, $D$11, 100%, $F$11)</f>
        <v>18.633400000000002</v>
      </c>
      <c r="I674" s="8">
        <f>17.5009 * CHOOSE(CONTROL!$C$12, $D$11, 100%, $F$11)</f>
        <v>17.500900000000001</v>
      </c>
      <c r="J674" s="4">
        <f>17.4216 * CHOOSE(CONTROL!$C$12, $D$11, 100%, $F$11)</f>
        <v>17.421600000000002</v>
      </c>
      <c r="K674" s="4"/>
      <c r="L674" s="9">
        <v>28.921800000000001</v>
      </c>
      <c r="M674" s="9">
        <v>12.063700000000001</v>
      </c>
      <c r="N674" s="9">
        <v>4.9444999999999997</v>
      </c>
      <c r="O674" s="9">
        <v>0.37459999999999999</v>
      </c>
      <c r="P674" s="9">
        <v>1.2192000000000001</v>
      </c>
      <c r="Q674" s="9">
        <v>19.688099999999999</v>
      </c>
      <c r="R674" s="9"/>
      <c r="S674" s="11"/>
    </row>
    <row r="675" spans="1:19" ht="15.75">
      <c r="A675" s="13">
        <v>62427</v>
      </c>
      <c r="B675" s="8">
        <f>19.614 * CHOOSE(CONTROL!$C$12, $D$11, 100%, $F$11)</f>
        <v>19.614000000000001</v>
      </c>
      <c r="C675" s="8">
        <f>19.6244 * CHOOSE(CONTROL!$C$12, $D$11, 100%, $F$11)</f>
        <v>19.624400000000001</v>
      </c>
      <c r="D675" s="8">
        <f>19.6068 * CHOOSE( CONTROL!$C$12, $D$11, 100%, $F$11)</f>
        <v>19.6068</v>
      </c>
      <c r="E675" s="12">
        <f>19.6121 * CHOOSE( CONTROL!$C$12, $D$11, 100%, $F$11)</f>
        <v>19.612100000000002</v>
      </c>
      <c r="F675" s="4">
        <f>20.6082 * CHOOSE(CONTROL!$C$12, $D$11, 100%, $F$11)</f>
        <v>20.6082</v>
      </c>
      <c r="G675" s="8">
        <f>19.128 * CHOOSE( CONTROL!$C$12, $D$11, 100%, $F$11)</f>
        <v>19.128</v>
      </c>
      <c r="H675" s="4">
        <f>20.0121 * CHOOSE(CONTROL!$C$12, $D$11, 100%, $F$11)</f>
        <v>20.0121</v>
      </c>
      <c r="I675" s="8">
        <f>18.8928 * CHOOSE(CONTROL!$C$12, $D$11, 100%, $F$11)</f>
        <v>18.892800000000001</v>
      </c>
      <c r="J675" s="4">
        <f>18.7894 * CHOOSE(CONTROL!$C$12, $D$11, 100%, $F$11)</f>
        <v>18.789400000000001</v>
      </c>
      <c r="K675" s="4"/>
      <c r="L675" s="9">
        <v>26.515499999999999</v>
      </c>
      <c r="M675" s="9">
        <v>11.6745</v>
      </c>
      <c r="N675" s="9">
        <v>4.7850000000000001</v>
      </c>
      <c r="O675" s="9">
        <v>0.36249999999999999</v>
      </c>
      <c r="P675" s="9">
        <v>1.2522</v>
      </c>
      <c r="Q675" s="9">
        <v>19.053000000000001</v>
      </c>
      <c r="R675" s="9"/>
      <c r="S675" s="11"/>
    </row>
    <row r="676" spans="1:19" ht="15.75">
      <c r="A676" s="13">
        <v>62458</v>
      </c>
      <c r="B676" s="8">
        <f>19.5783 * CHOOSE(CONTROL!$C$12, $D$11, 100%, $F$11)</f>
        <v>19.578299999999999</v>
      </c>
      <c r="C676" s="8">
        <f>19.5888 * CHOOSE(CONTROL!$C$12, $D$11, 100%, $F$11)</f>
        <v>19.588799999999999</v>
      </c>
      <c r="D676" s="8">
        <f>19.5732 * CHOOSE( CONTROL!$C$12, $D$11, 100%, $F$11)</f>
        <v>19.5732</v>
      </c>
      <c r="E676" s="12">
        <f>19.5778 * CHOOSE( CONTROL!$C$12, $D$11, 100%, $F$11)</f>
        <v>19.5778</v>
      </c>
      <c r="F676" s="4">
        <f>20.5726 * CHOOSE(CONTROL!$C$12, $D$11, 100%, $F$11)</f>
        <v>20.572600000000001</v>
      </c>
      <c r="G676" s="8">
        <f>19.0947 * CHOOSE( CONTROL!$C$12, $D$11, 100%, $F$11)</f>
        <v>19.0947</v>
      </c>
      <c r="H676" s="4">
        <f>19.9773 * CHOOSE(CONTROL!$C$12, $D$11, 100%, $F$11)</f>
        <v>19.9773</v>
      </c>
      <c r="I676" s="8">
        <f>18.8658 * CHOOSE(CONTROL!$C$12, $D$11, 100%, $F$11)</f>
        <v>18.8658</v>
      </c>
      <c r="J676" s="4">
        <f>18.7552 * CHOOSE(CONTROL!$C$12, $D$11, 100%, $F$11)</f>
        <v>18.755199999999999</v>
      </c>
      <c r="K676" s="4"/>
      <c r="L676" s="9">
        <v>27.3993</v>
      </c>
      <c r="M676" s="9">
        <v>12.063700000000001</v>
      </c>
      <c r="N676" s="9">
        <v>4.9444999999999997</v>
      </c>
      <c r="O676" s="9">
        <v>0.37459999999999999</v>
      </c>
      <c r="P676" s="9">
        <v>1.2939000000000001</v>
      </c>
      <c r="Q676" s="9">
        <v>19.688099999999999</v>
      </c>
      <c r="R676" s="9"/>
      <c r="S676" s="11"/>
    </row>
    <row r="677" spans="1:19" ht="15.75">
      <c r="A677" s="13">
        <v>62489</v>
      </c>
      <c r="B677" s="8">
        <f>20.3264 * CHOOSE(CONTROL!$C$12, $D$11, 100%, $F$11)</f>
        <v>20.3264</v>
      </c>
      <c r="C677" s="8">
        <f>20.3369 * CHOOSE(CONTROL!$C$12, $D$11, 100%, $F$11)</f>
        <v>20.3369</v>
      </c>
      <c r="D677" s="8">
        <f>20.3345 * CHOOSE( CONTROL!$C$12, $D$11, 100%, $F$11)</f>
        <v>20.334499999999998</v>
      </c>
      <c r="E677" s="12">
        <f>20.3343 * CHOOSE( CONTROL!$C$12, $D$11, 100%, $F$11)</f>
        <v>20.334299999999999</v>
      </c>
      <c r="F677" s="4">
        <f>21.3493 * CHOOSE(CONTROL!$C$12, $D$11, 100%, $F$11)</f>
        <v>21.349299999999999</v>
      </c>
      <c r="G677" s="8">
        <f>19.8411 * CHOOSE( CONTROL!$C$12, $D$11, 100%, $F$11)</f>
        <v>19.841100000000001</v>
      </c>
      <c r="H677" s="4">
        <f>20.7345 * CHOOSE(CONTROL!$C$12, $D$11, 100%, $F$11)</f>
        <v>20.734500000000001</v>
      </c>
      <c r="I677" s="8">
        <f>19.5904 * CHOOSE(CONTROL!$C$12, $D$11, 100%, $F$11)</f>
        <v>19.590399999999999</v>
      </c>
      <c r="J677" s="4">
        <f>19.472 * CHOOSE(CONTROL!$C$12, $D$11, 100%, $F$11)</f>
        <v>19.472000000000001</v>
      </c>
      <c r="K677" s="4"/>
      <c r="L677" s="9">
        <v>27.3993</v>
      </c>
      <c r="M677" s="9">
        <v>12.063700000000001</v>
      </c>
      <c r="N677" s="9">
        <v>4.9444999999999997</v>
      </c>
      <c r="O677" s="9">
        <v>0.37459999999999999</v>
      </c>
      <c r="P677" s="9">
        <v>1.2939000000000001</v>
      </c>
      <c r="Q677" s="9">
        <v>19.688099999999999</v>
      </c>
      <c r="R677" s="9"/>
      <c r="S677" s="11"/>
    </row>
    <row r="678" spans="1:19" ht="15.75">
      <c r="A678" s="13">
        <v>62517</v>
      </c>
      <c r="B678" s="8">
        <f>19.0127 * CHOOSE(CONTROL!$C$12, $D$11, 100%, $F$11)</f>
        <v>19.012699999999999</v>
      </c>
      <c r="C678" s="8">
        <f>19.0231 * CHOOSE(CONTROL!$C$12, $D$11, 100%, $F$11)</f>
        <v>19.023099999999999</v>
      </c>
      <c r="D678" s="8">
        <f>19.0231 * CHOOSE( CONTROL!$C$12, $D$11, 100%, $F$11)</f>
        <v>19.023099999999999</v>
      </c>
      <c r="E678" s="12">
        <f>19.022 * CHOOSE( CONTROL!$C$12, $D$11, 100%, $F$11)</f>
        <v>19.021999999999998</v>
      </c>
      <c r="F678" s="4">
        <f>20.0278 * CHOOSE(CONTROL!$C$12, $D$11, 100%, $F$11)</f>
        <v>20.027799999999999</v>
      </c>
      <c r="G678" s="8">
        <f>18.5604 * CHOOSE( CONTROL!$C$12, $D$11, 100%, $F$11)</f>
        <v>18.560400000000001</v>
      </c>
      <c r="H678" s="4">
        <f>19.4462 * CHOOSE(CONTROL!$C$12, $D$11, 100%, $F$11)</f>
        <v>19.446200000000001</v>
      </c>
      <c r="I678" s="8">
        <f>18.32 * CHOOSE(CONTROL!$C$12, $D$11, 100%, $F$11)</f>
        <v>18.32</v>
      </c>
      <c r="J678" s="4">
        <f>18.2132 * CHOOSE(CONTROL!$C$12, $D$11, 100%, $F$11)</f>
        <v>18.213200000000001</v>
      </c>
      <c r="K678" s="4"/>
      <c r="L678" s="9">
        <v>24.747800000000002</v>
      </c>
      <c r="M678" s="9">
        <v>10.8962</v>
      </c>
      <c r="N678" s="9">
        <v>4.4660000000000002</v>
      </c>
      <c r="O678" s="9">
        <v>0.33829999999999999</v>
      </c>
      <c r="P678" s="9">
        <v>1.1687000000000001</v>
      </c>
      <c r="Q678" s="9">
        <v>17.782800000000002</v>
      </c>
      <c r="R678" s="9"/>
      <c r="S678" s="11"/>
    </row>
    <row r="679" spans="1:19" ht="15.75">
      <c r="A679" s="13">
        <v>62548</v>
      </c>
      <c r="B679" s="8">
        <f>18.6081 * CHOOSE(CONTROL!$C$12, $D$11, 100%, $F$11)</f>
        <v>18.6081</v>
      </c>
      <c r="C679" s="8">
        <f>18.6185 * CHOOSE(CONTROL!$C$12, $D$11, 100%, $F$11)</f>
        <v>18.618500000000001</v>
      </c>
      <c r="D679" s="8">
        <f>18.5983 * CHOOSE( CONTROL!$C$12, $D$11, 100%, $F$11)</f>
        <v>18.598299999999998</v>
      </c>
      <c r="E679" s="12">
        <f>18.6046 * CHOOSE( CONTROL!$C$12, $D$11, 100%, $F$11)</f>
        <v>18.604600000000001</v>
      </c>
      <c r="F679" s="4">
        <f>19.607 * CHOOSE(CONTROL!$C$12, $D$11, 100%, $F$11)</f>
        <v>19.606999999999999</v>
      </c>
      <c r="G679" s="8">
        <f>18.1455 * CHOOSE( CONTROL!$C$12, $D$11, 100%, $F$11)</f>
        <v>18.145499999999998</v>
      </c>
      <c r="H679" s="4">
        <f>19.0361 * CHOOSE(CONTROL!$C$12, $D$11, 100%, $F$11)</f>
        <v>19.036100000000001</v>
      </c>
      <c r="I679" s="8">
        <f>17.8925 * CHOOSE(CONTROL!$C$12, $D$11, 100%, $F$11)</f>
        <v>17.892499999999998</v>
      </c>
      <c r="J679" s="4">
        <f>17.8255 * CHOOSE(CONTROL!$C$12, $D$11, 100%, $F$11)</f>
        <v>17.825500000000002</v>
      </c>
      <c r="K679" s="4"/>
      <c r="L679" s="9">
        <v>27.3993</v>
      </c>
      <c r="M679" s="9">
        <v>12.063700000000001</v>
      </c>
      <c r="N679" s="9">
        <v>4.9444999999999997</v>
      </c>
      <c r="O679" s="9">
        <v>0.37459999999999999</v>
      </c>
      <c r="P679" s="9">
        <v>1.2939000000000001</v>
      </c>
      <c r="Q679" s="9">
        <v>19.688099999999999</v>
      </c>
      <c r="R679" s="9"/>
      <c r="S679" s="11"/>
    </row>
    <row r="680" spans="1:19" ht="15.75">
      <c r="A680" s="13">
        <v>62578</v>
      </c>
      <c r="B680" s="8">
        <f>18.8908 * CHOOSE(CONTROL!$C$12, $D$11, 100%, $F$11)</f>
        <v>18.890799999999999</v>
      </c>
      <c r="C680" s="8">
        <f>18.9012 * CHOOSE(CONTROL!$C$12, $D$11, 100%, $F$11)</f>
        <v>18.901199999999999</v>
      </c>
      <c r="D680" s="8">
        <f>18.9044 * CHOOSE( CONTROL!$C$12, $D$11, 100%, $F$11)</f>
        <v>18.904399999999999</v>
      </c>
      <c r="E680" s="12">
        <f>18.9022 * CHOOSE( CONTROL!$C$12, $D$11, 100%, $F$11)</f>
        <v>18.902200000000001</v>
      </c>
      <c r="F680" s="4">
        <f>19.8981 * CHOOSE(CONTROL!$C$12, $D$11, 100%, $F$11)</f>
        <v>19.898099999999999</v>
      </c>
      <c r="G680" s="8">
        <f>18.4089 * CHOOSE( CONTROL!$C$12, $D$11, 100%, $F$11)</f>
        <v>18.408899999999999</v>
      </c>
      <c r="H680" s="4">
        <f>19.3198 * CHOOSE(CONTROL!$C$12, $D$11, 100%, $F$11)</f>
        <v>19.319800000000001</v>
      </c>
      <c r="I680" s="8">
        <f>18.1537 * CHOOSE(CONTROL!$C$12, $D$11, 100%, $F$11)</f>
        <v>18.153700000000001</v>
      </c>
      <c r="J680" s="4">
        <f>18.0964 * CHOOSE(CONTROL!$C$12, $D$11, 100%, $F$11)</f>
        <v>18.096399999999999</v>
      </c>
      <c r="K680" s="4"/>
      <c r="L680" s="9">
        <v>27.988800000000001</v>
      </c>
      <c r="M680" s="9">
        <v>11.6745</v>
      </c>
      <c r="N680" s="9">
        <v>4.7850000000000001</v>
      </c>
      <c r="O680" s="9">
        <v>0.36249999999999999</v>
      </c>
      <c r="P680" s="9">
        <v>1.1798</v>
      </c>
      <c r="Q680" s="9">
        <v>19.053000000000001</v>
      </c>
      <c r="R680" s="9"/>
      <c r="S680" s="11"/>
    </row>
    <row r="681" spans="1:19" ht="15.75">
      <c r="A681" s="13">
        <v>62609</v>
      </c>
      <c r="B681" s="8">
        <f>CHOOSE( CONTROL!$C$29, 19.3983, 19.394) * CHOOSE(CONTROL!$C$12, $D$11, 100%, $F$11)</f>
        <v>19.398299999999999</v>
      </c>
      <c r="C681" s="8">
        <f>CHOOSE( CONTROL!$C$29, 19.4087, 19.4045) * CHOOSE(CONTROL!$C$12, $D$11, 100%, $F$11)</f>
        <v>19.4087</v>
      </c>
      <c r="D681" s="8">
        <f>CHOOSE( CONTROL!$C$29, 19.3866, 19.3824) * CHOOSE( CONTROL!$C$12, $D$11, 100%, $F$11)</f>
        <v>19.386600000000001</v>
      </c>
      <c r="E681" s="12">
        <f>CHOOSE( CONTROL!$C$29, 19.393, 19.3888) * CHOOSE( CONTROL!$C$12, $D$11, 100%, $F$11)</f>
        <v>19.393000000000001</v>
      </c>
      <c r="F681" s="4">
        <f>CHOOSE( CONTROL!$C$29, 20.3732, 20.3689) * CHOOSE(CONTROL!$C$12, $D$11, 100%, $F$11)</f>
        <v>20.373200000000001</v>
      </c>
      <c r="G681" s="8">
        <f>CHOOSE( CONTROL!$C$29, 18.8848, 18.8807) * CHOOSE( CONTROL!$C$12, $D$11, 100%, $F$11)</f>
        <v>18.884799999999998</v>
      </c>
      <c r="H681" s="4">
        <f>CHOOSE( CONTROL!$C$29, 19.7829, 19.7788) * CHOOSE(CONTROL!$C$12, $D$11, 100%, $F$11)</f>
        <v>19.782900000000001</v>
      </c>
      <c r="I681" s="8">
        <f>CHOOSE( CONTROL!$C$29, 18.6187, 18.6146) * CHOOSE(CONTROL!$C$12, $D$11, 100%, $F$11)</f>
        <v>18.6187</v>
      </c>
      <c r="J681" s="4">
        <f>CHOOSE( CONTROL!$C$29, 18.5827, 18.5786) * CHOOSE(CONTROL!$C$12, $D$11, 100%, $F$11)</f>
        <v>18.582699999999999</v>
      </c>
      <c r="K681" s="4"/>
      <c r="L681" s="9">
        <v>29.520499999999998</v>
      </c>
      <c r="M681" s="9">
        <v>12.063700000000001</v>
      </c>
      <c r="N681" s="9">
        <v>4.9444999999999997</v>
      </c>
      <c r="O681" s="9">
        <v>0.37459999999999999</v>
      </c>
      <c r="P681" s="9">
        <v>1.2192000000000001</v>
      </c>
      <c r="Q681" s="9">
        <v>19.688099999999999</v>
      </c>
      <c r="R681" s="9"/>
      <c r="S681" s="11"/>
    </row>
    <row r="682" spans="1:19" ht="15.75">
      <c r="A682" s="13">
        <v>62639</v>
      </c>
      <c r="B682" s="8">
        <f>CHOOSE( CONTROL!$C$29, 19.0865, 19.0823) * CHOOSE(CONTROL!$C$12, $D$11, 100%, $F$11)</f>
        <v>19.086500000000001</v>
      </c>
      <c r="C682" s="8">
        <f>CHOOSE( CONTROL!$C$29, 19.097, 19.0927) * CHOOSE(CONTROL!$C$12, $D$11, 100%, $F$11)</f>
        <v>19.097000000000001</v>
      </c>
      <c r="D682" s="8">
        <f>CHOOSE( CONTROL!$C$29, 19.0693, 19.0651) * CHOOSE( CONTROL!$C$12, $D$11, 100%, $F$11)</f>
        <v>19.069299999999998</v>
      </c>
      <c r="E682" s="12">
        <f>CHOOSE( CONTROL!$C$29, 19.0777, 19.0735) * CHOOSE( CONTROL!$C$12, $D$11, 100%, $F$11)</f>
        <v>19.0777</v>
      </c>
      <c r="F682" s="4">
        <f>CHOOSE( CONTROL!$C$29, 20.051, 20.0468) * CHOOSE(CONTROL!$C$12, $D$11, 100%, $F$11)</f>
        <v>20.050999999999998</v>
      </c>
      <c r="G682" s="8">
        <f>CHOOSE( CONTROL!$C$29, 18.5797, 18.5756) * CHOOSE( CONTROL!$C$12, $D$11, 100%, $F$11)</f>
        <v>18.579699999999999</v>
      </c>
      <c r="H682" s="4">
        <f>CHOOSE( CONTROL!$C$29, 19.4689, 19.4648) * CHOOSE(CONTROL!$C$12, $D$11, 100%, $F$11)</f>
        <v>19.468900000000001</v>
      </c>
      <c r="I682" s="8">
        <f>CHOOSE( CONTROL!$C$29, 18.322, 18.3179) * CHOOSE(CONTROL!$C$12, $D$11, 100%, $F$11)</f>
        <v>18.321999999999999</v>
      </c>
      <c r="J682" s="4">
        <f>CHOOSE( CONTROL!$C$29, 18.284, 18.2799) * CHOOSE(CONTROL!$C$12, $D$11, 100%, $F$11)</f>
        <v>18.283999999999999</v>
      </c>
      <c r="K682" s="4"/>
      <c r="L682" s="9">
        <v>28.568200000000001</v>
      </c>
      <c r="M682" s="9">
        <v>11.6745</v>
      </c>
      <c r="N682" s="9">
        <v>4.7850000000000001</v>
      </c>
      <c r="O682" s="9">
        <v>0.36249999999999999</v>
      </c>
      <c r="P682" s="9">
        <v>1.1798</v>
      </c>
      <c r="Q682" s="9">
        <v>19.053000000000001</v>
      </c>
      <c r="R682" s="9"/>
      <c r="S682" s="11"/>
    </row>
    <row r="683" spans="1:19" ht="15.75">
      <c r="A683" s="13">
        <v>62670</v>
      </c>
      <c r="B683" s="8">
        <f>CHOOSE( CONTROL!$C$29, 19.9074, 19.9032) * CHOOSE(CONTROL!$C$12, $D$11, 100%, $F$11)</f>
        <v>19.907399999999999</v>
      </c>
      <c r="C683" s="8">
        <f>CHOOSE( CONTROL!$C$29, 19.9179, 19.9136) * CHOOSE(CONTROL!$C$12, $D$11, 100%, $F$11)</f>
        <v>19.917899999999999</v>
      </c>
      <c r="D683" s="8">
        <f>CHOOSE( CONTROL!$C$29, 19.924, 19.9198) * CHOOSE( CONTROL!$C$12, $D$11, 100%, $F$11)</f>
        <v>19.923999999999999</v>
      </c>
      <c r="E683" s="12">
        <f>CHOOSE( CONTROL!$C$29, 19.9202, 19.916) * CHOOSE( CONTROL!$C$12, $D$11, 100%, $F$11)</f>
        <v>19.920200000000001</v>
      </c>
      <c r="F683" s="4">
        <f>CHOOSE( CONTROL!$C$29, 20.9173, 20.9131) * CHOOSE(CONTROL!$C$12, $D$11, 100%, $F$11)</f>
        <v>20.917300000000001</v>
      </c>
      <c r="G683" s="8">
        <f>CHOOSE( CONTROL!$C$29, 19.4059, 19.4018) * CHOOSE( CONTROL!$C$12, $D$11, 100%, $F$11)</f>
        <v>19.405899999999999</v>
      </c>
      <c r="H683" s="4">
        <f>CHOOSE( CONTROL!$C$29, 20.3133, 20.3092) * CHOOSE(CONTROL!$C$12, $D$11, 100%, $F$11)</f>
        <v>20.313300000000002</v>
      </c>
      <c r="I683" s="8">
        <f>CHOOSE( CONTROL!$C$29, 19.1642, 19.1602) * CHOOSE(CONTROL!$C$12, $D$11, 100%, $F$11)</f>
        <v>19.164200000000001</v>
      </c>
      <c r="J683" s="4">
        <f>CHOOSE( CONTROL!$C$29, 19.0706, 19.0665) * CHOOSE(CONTROL!$C$12, $D$11, 100%, $F$11)</f>
        <v>19.070599999999999</v>
      </c>
      <c r="K683" s="4"/>
      <c r="L683" s="9">
        <v>29.520499999999998</v>
      </c>
      <c r="M683" s="9">
        <v>12.063700000000001</v>
      </c>
      <c r="N683" s="9">
        <v>4.9444999999999997</v>
      </c>
      <c r="O683" s="9">
        <v>0.37459999999999999</v>
      </c>
      <c r="P683" s="9">
        <v>1.2192000000000001</v>
      </c>
      <c r="Q683" s="9">
        <v>19.688099999999999</v>
      </c>
      <c r="R683" s="9"/>
      <c r="S683" s="11"/>
    </row>
    <row r="684" spans="1:19" ht="15.75">
      <c r="A684" s="13">
        <v>62701</v>
      </c>
      <c r="B684" s="8">
        <f>CHOOSE( CONTROL!$C$29, 18.3714, 18.3672) * CHOOSE(CONTROL!$C$12, $D$11, 100%, $F$11)</f>
        <v>18.371400000000001</v>
      </c>
      <c r="C684" s="8">
        <f>CHOOSE( CONTROL!$C$29, 18.3819, 18.3776) * CHOOSE(CONTROL!$C$12, $D$11, 100%, $F$11)</f>
        <v>18.381900000000002</v>
      </c>
      <c r="D684" s="8">
        <f>CHOOSE( CONTROL!$C$29, 18.4045, 18.4002) * CHOOSE( CONTROL!$C$12, $D$11, 100%, $F$11)</f>
        <v>18.404499999999999</v>
      </c>
      <c r="E684" s="12">
        <f>CHOOSE( CONTROL!$C$29, 18.3947, 18.3904) * CHOOSE( CONTROL!$C$12, $D$11, 100%, $F$11)</f>
        <v>18.3947</v>
      </c>
      <c r="F684" s="4">
        <f>CHOOSE( CONTROL!$C$29, 19.41, 19.4058) * CHOOSE(CONTROL!$C$12, $D$11, 100%, $F$11)</f>
        <v>19.41</v>
      </c>
      <c r="G684" s="8">
        <f>CHOOSE( CONTROL!$C$29, 17.9143, 17.9102) * CHOOSE( CONTROL!$C$12, $D$11, 100%, $F$11)</f>
        <v>17.914300000000001</v>
      </c>
      <c r="H684" s="4">
        <f>CHOOSE( CONTROL!$C$29, 18.8441, 18.8399) * CHOOSE(CONTROL!$C$12, $D$11, 100%, $F$11)</f>
        <v>18.844100000000001</v>
      </c>
      <c r="I684" s="8">
        <f>CHOOSE( CONTROL!$C$29, 17.6832, 17.6791) * CHOOSE(CONTROL!$C$12, $D$11, 100%, $F$11)</f>
        <v>17.683199999999999</v>
      </c>
      <c r="J684" s="4">
        <f>CHOOSE( CONTROL!$C$29, 17.5988, 17.5947) * CHOOSE(CONTROL!$C$12, $D$11, 100%, $F$11)</f>
        <v>17.598800000000001</v>
      </c>
      <c r="K684" s="4"/>
      <c r="L684" s="9">
        <v>29.520499999999998</v>
      </c>
      <c r="M684" s="9">
        <v>12.063700000000001</v>
      </c>
      <c r="N684" s="9">
        <v>4.9444999999999997</v>
      </c>
      <c r="O684" s="9">
        <v>0.37459999999999999</v>
      </c>
      <c r="P684" s="9">
        <v>1.2192000000000001</v>
      </c>
      <c r="Q684" s="9">
        <v>19.688099999999999</v>
      </c>
      <c r="R684" s="9"/>
      <c r="S684" s="11"/>
    </row>
    <row r="685" spans="1:19" ht="15.75">
      <c r="A685" s="13">
        <v>62731</v>
      </c>
      <c r="B685" s="8">
        <f>CHOOSE( CONTROL!$C$29, 17.9868, 17.9826) * CHOOSE(CONTROL!$C$12, $D$11, 100%, $F$11)</f>
        <v>17.986799999999999</v>
      </c>
      <c r="C685" s="8">
        <f>CHOOSE( CONTROL!$C$29, 17.9972, 17.993) * CHOOSE(CONTROL!$C$12, $D$11, 100%, $F$11)</f>
        <v>17.997199999999999</v>
      </c>
      <c r="D685" s="8">
        <f>CHOOSE( CONTROL!$C$29, 18.0198, 18.0156) * CHOOSE( CONTROL!$C$12, $D$11, 100%, $F$11)</f>
        <v>18.0198</v>
      </c>
      <c r="E685" s="12">
        <f>CHOOSE( CONTROL!$C$29, 18.01, 18.0058) * CHOOSE( CONTROL!$C$12, $D$11, 100%, $F$11)</f>
        <v>18.010000000000002</v>
      </c>
      <c r="F685" s="4">
        <f>CHOOSE( CONTROL!$C$29, 19.0254, 19.0211) * CHOOSE(CONTROL!$C$12, $D$11, 100%, $F$11)</f>
        <v>19.025400000000001</v>
      </c>
      <c r="G685" s="8">
        <f>CHOOSE( CONTROL!$C$29, 17.5391, 17.5349) * CHOOSE( CONTROL!$C$12, $D$11, 100%, $F$11)</f>
        <v>17.539100000000001</v>
      </c>
      <c r="H685" s="4">
        <f>CHOOSE( CONTROL!$C$29, 18.4691, 18.465) * CHOOSE(CONTROL!$C$12, $D$11, 100%, $F$11)</f>
        <v>18.469100000000001</v>
      </c>
      <c r="I685" s="8">
        <f>CHOOSE( CONTROL!$C$29, 17.3127, 17.3087) * CHOOSE(CONTROL!$C$12, $D$11, 100%, $F$11)</f>
        <v>17.3127</v>
      </c>
      <c r="J685" s="4">
        <f>CHOOSE( CONTROL!$C$29, 17.2302, 17.2261) * CHOOSE(CONTROL!$C$12, $D$11, 100%, $F$11)</f>
        <v>17.2302</v>
      </c>
      <c r="K685" s="4"/>
      <c r="L685" s="9">
        <v>28.568200000000001</v>
      </c>
      <c r="M685" s="9">
        <v>11.6745</v>
      </c>
      <c r="N685" s="9">
        <v>4.7850000000000001</v>
      </c>
      <c r="O685" s="9">
        <v>0.36249999999999999</v>
      </c>
      <c r="P685" s="9">
        <v>1.1798</v>
      </c>
      <c r="Q685" s="9">
        <v>19.053000000000001</v>
      </c>
      <c r="R685" s="9"/>
      <c r="S685" s="11"/>
    </row>
    <row r="686" spans="1:19" ht="15.75">
      <c r="A686" s="13">
        <v>62762</v>
      </c>
      <c r="B686" s="8">
        <f>18.7812 * CHOOSE(CONTROL!$C$12, $D$11, 100%, $F$11)</f>
        <v>18.781199999999998</v>
      </c>
      <c r="C686" s="8">
        <f>18.7916 * CHOOSE(CONTROL!$C$12, $D$11, 100%, $F$11)</f>
        <v>18.791599999999999</v>
      </c>
      <c r="D686" s="8">
        <f>18.7961 * CHOOSE( CONTROL!$C$12, $D$11, 100%, $F$11)</f>
        <v>18.796099999999999</v>
      </c>
      <c r="E686" s="12">
        <f>18.7935 * CHOOSE( CONTROL!$C$12, $D$11, 100%, $F$11)</f>
        <v>18.793500000000002</v>
      </c>
      <c r="F686" s="4">
        <f>19.7884 * CHOOSE(CONTROL!$C$12, $D$11, 100%, $F$11)</f>
        <v>19.788399999999999</v>
      </c>
      <c r="G686" s="8">
        <f>18.3037 * CHOOSE( CONTROL!$C$12, $D$11, 100%, $F$11)</f>
        <v>18.303699999999999</v>
      </c>
      <c r="H686" s="4">
        <f>19.213 * CHOOSE(CONTROL!$C$12, $D$11, 100%, $F$11)</f>
        <v>19.213000000000001</v>
      </c>
      <c r="I686" s="8">
        <f>18.0709 * CHOOSE(CONTROL!$C$12, $D$11, 100%, $F$11)</f>
        <v>18.070900000000002</v>
      </c>
      <c r="J686" s="4">
        <f>17.9914 * CHOOSE(CONTROL!$C$12, $D$11, 100%, $F$11)</f>
        <v>17.991399999999999</v>
      </c>
      <c r="K686" s="4"/>
      <c r="L686" s="9">
        <v>28.921800000000001</v>
      </c>
      <c r="M686" s="9">
        <v>12.063700000000001</v>
      </c>
      <c r="N686" s="9">
        <v>4.9444999999999997</v>
      </c>
      <c r="O686" s="9">
        <v>0.37459999999999999</v>
      </c>
      <c r="P686" s="9">
        <v>1.2192000000000001</v>
      </c>
      <c r="Q686" s="9">
        <v>19.688099999999999</v>
      </c>
      <c r="R686" s="9"/>
      <c r="S686" s="11"/>
    </row>
    <row r="687" spans="1:19" ht="15.75">
      <c r="A687" s="13">
        <v>62792</v>
      </c>
      <c r="B687" s="8">
        <f>20.2553 * CHOOSE(CONTROL!$C$12, $D$11, 100%, $F$11)</f>
        <v>20.255299999999998</v>
      </c>
      <c r="C687" s="8">
        <f>20.2657 * CHOOSE(CONTROL!$C$12, $D$11, 100%, $F$11)</f>
        <v>20.265699999999999</v>
      </c>
      <c r="D687" s="8">
        <f>20.2481 * CHOOSE( CONTROL!$C$12, $D$11, 100%, $F$11)</f>
        <v>20.248100000000001</v>
      </c>
      <c r="E687" s="12">
        <f>20.2534 * CHOOSE( CONTROL!$C$12, $D$11, 100%, $F$11)</f>
        <v>20.253399999999999</v>
      </c>
      <c r="F687" s="4">
        <f>21.2495 * CHOOSE(CONTROL!$C$12, $D$11, 100%, $F$11)</f>
        <v>21.249500000000001</v>
      </c>
      <c r="G687" s="8">
        <f>19.7531 * CHOOSE( CONTROL!$C$12, $D$11, 100%, $F$11)</f>
        <v>19.7531</v>
      </c>
      <c r="H687" s="4">
        <f>20.6372 * CHOOSE(CONTROL!$C$12, $D$11, 100%, $F$11)</f>
        <v>20.6372</v>
      </c>
      <c r="I687" s="8">
        <f>19.5076 * CHOOSE(CONTROL!$C$12, $D$11, 100%, $F$11)</f>
        <v>19.5076</v>
      </c>
      <c r="J687" s="4">
        <f>19.4039 * CHOOSE(CONTROL!$C$12, $D$11, 100%, $F$11)</f>
        <v>19.4039</v>
      </c>
      <c r="K687" s="4"/>
      <c r="L687" s="9">
        <v>26.515499999999999</v>
      </c>
      <c r="M687" s="9">
        <v>11.6745</v>
      </c>
      <c r="N687" s="9">
        <v>4.7850000000000001</v>
      </c>
      <c r="O687" s="9">
        <v>0.36249999999999999</v>
      </c>
      <c r="P687" s="9">
        <v>1.2522</v>
      </c>
      <c r="Q687" s="9">
        <v>19.053000000000001</v>
      </c>
      <c r="R687" s="9"/>
      <c r="S687" s="11"/>
    </row>
    <row r="688" spans="1:19" ht="15.75">
      <c r="A688" s="13">
        <v>62823</v>
      </c>
      <c r="B688" s="8">
        <f>20.2185 * CHOOSE(CONTROL!$C$12, $D$11, 100%, $F$11)</f>
        <v>20.218499999999999</v>
      </c>
      <c r="C688" s="8">
        <f>20.2289 * CHOOSE(CONTROL!$C$12, $D$11, 100%, $F$11)</f>
        <v>20.228899999999999</v>
      </c>
      <c r="D688" s="8">
        <f>20.2133 * CHOOSE( CONTROL!$C$12, $D$11, 100%, $F$11)</f>
        <v>20.2133</v>
      </c>
      <c r="E688" s="12">
        <f>20.2179 * CHOOSE( CONTROL!$C$12, $D$11, 100%, $F$11)</f>
        <v>20.2179</v>
      </c>
      <c r="F688" s="4">
        <f>21.2127 * CHOOSE(CONTROL!$C$12, $D$11, 100%, $F$11)</f>
        <v>21.212700000000002</v>
      </c>
      <c r="G688" s="8">
        <f>19.7187 * CHOOSE( CONTROL!$C$12, $D$11, 100%, $F$11)</f>
        <v>19.718699999999998</v>
      </c>
      <c r="H688" s="4">
        <f>20.6013 * CHOOSE(CONTROL!$C$12, $D$11, 100%, $F$11)</f>
        <v>20.601299999999998</v>
      </c>
      <c r="I688" s="8">
        <f>19.4795 * CHOOSE(CONTROL!$C$12, $D$11, 100%, $F$11)</f>
        <v>19.479500000000002</v>
      </c>
      <c r="J688" s="4">
        <f>19.3686 * CHOOSE(CONTROL!$C$12, $D$11, 100%, $F$11)</f>
        <v>19.368600000000001</v>
      </c>
      <c r="K688" s="4"/>
      <c r="L688" s="9">
        <v>27.3993</v>
      </c>
      <c r="M688" s="9">
        <v>12.063700000000001</v>
      </c>
      <c r="N688" s="9">
        <v>4.9444999999999997</v>
      </c>
      <c r="O688" s="9">
        <v>0.37459999999999999</v>
      </c>
      <c r="P688" s="9">
        <v>1.2939000000000001</v>
      </c>
      <c r="Q688" s="9">
        <v>19.688099999999999</v>
      </c>
      <c r="R688" s="9"/>
      <c r="S688" s="11"/>
    </row>
    <row r="689" spans="1:19" ht="15.75">
      <c r="A689" s="13">
        <v>62854</v>
      </c>
      <c r="B689" s="8">
        <f>20.991 * CHOOSE(CONTROL!$C$12, $D$11, 100%, $F$11)</f>
        <v>20.991</v>
      </c>
      <c r="C689" s="8">
        <f>21.0015 * CHOOSE(CONTROL!$C$12, $D$11, 100%, $F$11)</f>
        <v>21.0015</v>
      </c>
      <c r="D689" s="8">
        <f>20.9991 * CHOOSE( CONTROL!$C$12, $D$11, 100%, $F$11)</f>
        <v>20.999099999999999</v>
      </c>
      <c r="E689" s="12">
        <f>20.9989 * CHOOSE( CONTROL!$C$12, $D$11, 100%, $F$11)</f>
        <v>20.998899999999999</v>
      </c>
      <c r="F689" s="4">
        <f>22.0139 * CHOOSE(CONTROL!$C$12, $D$11, 100%, $F$11)</f>
        <v>22.0139</v>
      </c>
      <c r="G689" s="8">
        <f>20.4889 * CHOOSE( CONTROL!$C$12, $D$11, 100%, $F$11)</f>
        <v>20.488900000000001</v>
      </c>
      <c r="H689" s="4">
        <f>21.3823 * CHOOSE(CONTROL!$C$12, $D$11, 100%, $F$11)</f>
        <v>21.382300000000001</v>
      </c>
      <c r="I689" s="8">
        <f>20.2275 * CHOOSE(CONTROL!$C$12, $D$11, 100%, $F$11)</f>
        <v>20.227499999999999</v>
      </c>
      <c r="J689" s="4">
        <f>20.1088 * CHOOSE(CONTROL!$C$12, $D$11, 100%, $F$11)</f>
        <v>20.108799999999999</v>
      </c>
      <c r="K689" s="4"/>
      <c r="L689" s="9">
        <v>27.3993</v>
      </c>
      <c r="M689" s="9">
        <v>12.063700000000001</v>
      </c>
      <c r="N689" s="9">
        <v>4.9444999999999997</v>
      </c>
      <c r="O689" s="9">
        <v>0.37459999999999999</v>
      </c>
      <c r="P689" s="9">
        <v>1.2939000000000001</v>
      </c>
      <c r="Q689" s="9">
        <v>19.688099999999999</v>
      </c>
      <c r="R689" s="9"/>
      <c r="S689" s="11"/>
    </row>
    <row r="690" spans="1:19" ht="15.75">
      <c r="A690" s="13">
        <v>62883</v>
      </c>
      <c r="B690" s="8">
        <f>19.6343 * CHOOSE(CONTROL!$C$12, $D$11, 100%, $F$11)</f>
        <v>19.6343</v>
      </c>
      <c r="C690" s="8">
        <f>19.6447 * CHOOSE(CONTROL!$C$12, $D$11, 100%, $F$11)</f>
        <v>19.6447</v>
      </c>
      <c r="D690" s="8">
        <f>19.6447 * CHOOSE( CONTROL!$C$12, $D$11, 100%, $F$11)</f>
        <v>19.6447</v>
      </c>
      <c r="E690" s="12">
        <f>19.6436 * CHOOSE( CONTROL!$C$12, $D$11, 100%, $F$11)</f>
        <v>19.643599999999999</v>
      </c>
      <c r="F690" s="4">
        <f>20.6494 * CHOOSE(CONTROL!$C$12, $D$11, 100%, $F$11)</f>
        <v>20.6494</v>
      </c>
      <c r="G690" s="8">
        <f>19.1663 * CHOOSE( CONTROL!$C$12, $D$11, 100%, $F$11)</f>
        <v>19.1663</v>
      </c>
      <c r="H690" s="4">
        <f>20.0522 * CHOOSE(CONTROL!$C$12, $D$11, 100%, $F$11)</f>
        <v>20.052199999999999</v>
      </c>
      <c r="I690" s="8">
        <f>18.9159 * CHOOSE(CONTROL!$C$12, $D$11, 100%, $F$11)</f>
        <v>18.915900000000001</v>
      </c>
      <c r="J690" s="4">
        <f>18.8088 * CHOOSE(CONTROL!$C$12, $D$11, 100%, $F$11)</f>
        <v>18.808800000000002</v>
      </c>
      <c r="K690" s="4"/>
      <c r="L690" s="9">
        <v>25.631599999999999</v>
      </c>
      <c r="M690" s="9">
        <v>11.285299999999999</v>
      </c>
      <c r="N690" s="9">
        <v>4.6254999999999997</v>
      </c>
      <c r="O690" s="9">
        <v>0.35039999999999999</v>
      </c>
      <c r="P690" s="9">
        <v>1.2104999999999999</v>
      </c>
      <c r="Q690" s="9">
        <v>18.417899999999999</v>
      </c>
      <c r="R690" s="9"/>
      <c r="S690" s="11"/>
    </row>
    <row r="691" spans="1:19" ht="15.75">
      <c r="A691" s="13">
        <v>62914</v>
      </c>
      <c r="B691" s="8">
        <f>19.2164 * CHOOSE(CONTROL!$C$12, $D$11, 100%, $F$11)</f>
        <v>19.2164</v>
      </c>
      <c r="C691" s="8">
        <f>19.2269 * CHOOSE(CONTROL!$C$12, $D$11, 100%, $F$11)</f>
        <v>19.226900000000001</v>
      </c>
      <c r="D691" s="8">
        <f>19.2067 * CHOOSE( CONTROL!$C$12, $D$11, 100%, $F$11)</f>
        <v>19.206700000000001</v>
      </c>
      <c r="E691" s="12">
        <f>19.213 * CHOOSE( CONTROL!$C$12, $D$11, 100%, $F$11)</f>
        <v>19.213000000000001</v>
      </c>
      <c r="F691" s="4">
        <f>20.2153 * CHOOSE(CONTROL!$C$12, $D$11, 100%, $F$11)</f>
        <v>20.215299999999999</v>
      </c>
      <c r="G691" s="8">
        <f>18.7385 * CHOOSE( CONTROL!$C$12, $D$11, 100%, $F$11)</f>
        <v>18.738499999999998</v>
      </c>
      <c r="H691" s="4">
        <f>19.6291 * CHOOSE(CONTROL!$C$12, $D$11, 100%, $F$11)</f>
        <v>19.629100000000001</v>
      </c>
      <c r="I691" s="8">
        <f>18.4758 * CHOOSE(CONTROL!$C$12, $D$11, 100%, $F$11)</f>
        <v>18.4758</v>
      </c>
      <c r="J691" s="4">
        <f>18.4084 * CHOOSE(CONTROL!$C$12, $D$11, 100%, $F$11)</f>
        <v>18.4084</v>
      </c>
      <c r="K691" s="4"/>
      <c r="L691" s="9">
        <v>27.3993</v>
      </c>
      <c r="M691" s="9">
        <v>12.063700000000001</v>
      </c>
      <c r="N691" s="9">
        <v>4.9444999999999997</v>
      </c>
      <c r="O691" s="9">
        <v>0.37459999999999999</v>
      </c>
      <c r="P691" s="9">
        <v>1.2939000000000001</v>
      </c>
      <c r="Q691" s="9">
        <v>19.688099999999999</v>
      </c>
      <c r="R691" s="9"/>
      <c r="S691" s="11"/>
    </row>
    <row r="692" spans="1:19" ht="15.75">
      <c r="A692" s="13">
        <v>62944</v>
      </c>
      <c r="B692" s="8">
        <f>19.5084 * CHOOSE(CONTROL!$C$12, $D$11, 100%, $F$11)</f>
        <v>19.508400000000002</v>
      </c>
      <c r="C692" s="8">
        <f>19.5189 * CHOOSE(CONTROL!$C$12, $D$11, 100%, $F$11)</f>
        <v>19.518899999999999</v>
      </c>
      <c r="D692" s="8">
        <f>19.5221 * CHOOSE( CONTROL!$C$12, $D$11, 100%, $F$11)</f>
        <v>19.522099999999998</v>
      </c>
      <c r="E692" s="12">
        <f>19.5198 * CHOOSE( CONTROL!$C$12, $D$11, 100%, $F$11)</f>
        <v>19.5198</v>
      </c>
      <c r="F692" s="4">
        <f>20.5157 * CHOOSE(CONTROL!$C$12, $D$11, 100%, $F$11)</f>
        <v>20.515699999999999</v>
      </c>
      <c r="G692" s="8">
        <f>19.011 * CHOOSE( CONTROL!$C$12, $D$11, 100%, $F$11)</f>
        <v>19.010999999999999</v>
      </c>
      <c r="H692" s="4">
        <f>19.9219 * CHOOSE(CONTROL!$C$12, $D$11, 100%, $F$11)</f>
        <v>19.921900000000001</v>
      </c>
      <c r="I692" s="8">
        <f>18.7458 * CHOOSE(CONTROL!$C$12, $D$11, 100%, $F$11)</f>
        <v>18.745799999999999</v>
      </c>
      <c r="J692" s="4">
        <f>18.6882 * CHOOSE(CONTROL!$C$12, $D$11, 100%, $F$11)</f>
        <v>18.688199999999998</v>
      </c>
      <c r="K692" s="4"/>
      <c r="L692" s="9">
        <v>27.988800000000001</v>
      </c>
      <c r="M692" s="9">
        <v>11.6745</v>
      </c>
      <c r="N692" s="9">
        <v>4.7850000000000001</v>
      </c>
      <c r="O692" s="9">
        <v>0.36249999999999999</v>
      </c>
      <c r="P692" s="9">
        <v>1.1798</v>
      </c>
      <c r="Q692" s="9">
        <v>19.053000000000001</v>
      </c>
      <c r="R692" s="9"/>
      <c r="S692" s="11"/>
    </row>
    <row r="693" spans="1:19" ht="15.75">
      <c r="A693" s="13">
        <v>62975</v>
      </c>
      <c r="B693" s="8">
        <f>CHOOSE( CONTROL!$C$29, 20.0324, 20.0281) * CHOOSE(CONTROL!$C$12, $D$11, 100%, $F$11)</f>
        <v>20.032399999999999</v>
      </c>
      <c r="C693" s="8">
        <f>CHOOSE( CONTROL!$C$29, 20.0428, 20.0386) * CHOOSE(CONTROL!$C$12, $D$11, 100%, $F$11)</f>
        <v>20.0428</v>
      </c>
      <c r="D693" s="8">
        <f>CHOOSE( CONTROL!$C$29, 20.0207, 20.0165) * CHOOSE( CONTROL!$C$12, $D$11, 100%, $F$11)</f>
        <v>20.020700000000001</v>
      </c>
      <c r="E693" s="12">
        <f>CHOOSE( CONTROL!$C$29, 20.0271, 20.0229) * CHOOSE( CONTROL!$C$12, $D$11, 100%, $F$11)</f>
        <v>20.027100000000001</v>
      </c>
      <c r="F693" s="4">
        <f>CHOOSE( CONTROL!$C$29, 21.0073, 21.003) * CHOOSE(CONTROL!$C$12, $D$11, 100%, $F$11)</f>
        <v>21.007300000000001</v>
      </c>
      <c r="G693" s="8">
        <f>CHOOSE( CONTROL!$C$29, 19.5029, 19.4988) * CHOOSE( CONTROL!$C$12, $D$11, 100%, $F$11)</f>
        <v>19.5029</v>
      </c>
      <c r="H693" s="4">
        <f>CHOOSE( CONTROL!$C$29, 20.401, 20.3969) * CHOOSE(CONTROL!$C$12, $D$11, 100%, $F$11)</f>
        <v>20.401</v>
      </c>
      <c r="I693" s="8">
        <f>CHOOSE( CONTROL!$C$29, 19.2265, 19.2225) * CHOOSE(CONTROL!$C$12, $D$11, 100%, $F$11)</f>
        <v>19.226500000000001</v>
      </c>
      <c r="J693" s="4">
        <f>CHOOSE( CONTROL!$C$29, 19.1903, 19.1862) * CHOOSE(CONTROL!$C$12, $D$11, 100%, $F$11)</f>
        <v>19.190300000000001</v>
      </c>
      <c r="K693" s="4"/>
      <c r="L693" s="9">
        <v>29.520499999999998</v>
      </c>
      <c r="M693" s="9">
        <v>12.063700000000001</v>
      </c>
      <c r="N693" s="9">
        <v>4.9444999999999997</v>
      </c>
      <c r="O693" s="9">
        <v>0.37459999999999999</v>
      </c>
      <c r="P693" s="9">
        <v>1.2192000000000001</v>
      </c>
      <c r="Q693" s="9">
        <v>19.688099999999999</v>
      </c>
      <c r="R693" s="9"/>
      <c r="S693" s="11"/>
    </row>
    <row r="694" spans="1:19" ht="15.75">
      <c r="A694" s="13">
        <v>63005</v>
      </c>
      <c r="B694" s="8">
        <f>CHOOSE( CONTROL!$C$29, 19.7104, 19.7062) * CHOOSE(CONTROL!$C$12, $D$11, 100%, $F$11)</f>
        <v>19.7104</v>
      </c>
      <c r="C694" s="8">
        <f>CHOOSE( CONTROL!$C$29, 19.7209, 19.7166) * CHOOSE(CONTROL!$C$12, $D$11, 100%, $F$11)</f>
        <v>19.7209</v>
      </c>
      <c r="D694" s="8">
        <f>CHOOSE( CONTROL!$C$29, 19.6932, 19.689) * CHOOSE( CONTROL!$C$12, $D$11, 100%, $F$11)</f>
        <v>19.693200000000001</v>
      </c>
      <c r="E694" s="12">
        <f>CHOOSE( CONTROL!$C$29, 19.7016, 19.6974) * CHOOSE( CONTROL!$C$12, $D$11, 100%, $F$11)</f>
        <v>19.701599999999999</v>
      </c>
      <c r="F694" s="4">
        <f>CHOOSE( CONTROL!$C$29, 20.6749, 20.6707) * CHOOSE(CONTROL!$C$12, $D$11, 100%, $F$11)</f>
        <v>20.674900000000001</v>
      </c>
      <c r="G694" s="8">
        <f>CHOOSE( CONTROL!$C$29, 19.1879, 19.1837) * CHOOSE( CONTROL!$C$12, $D$11, 100%, $F$11)</f>
        <v>19.187899999999999</v>
      </c>
      <c r="H694" s="4">
        <f>CHOOSE( CONTROL!$C$29, 20.0771, 20.0729) * CHOOSE(CONTROL!$C$12, $D$11, 100%, $F$11)</f>
        <v>20.077100000000002</v>
      </c>
      <c r="I694" s="8">
        <f>CHOOSE( CONTROL!$C$29, 18.9201, 18.916) * CHOOSE(CONTROL!$C$12, $D$11, 100%, $F$11)</f>
        <v>18.920100000000001</v>
      </c>
      <c r="J694" s="4">
        <f>CHOOSE( CONTROL!$C$29, 18.8818, 18.8777) * CHOOSE(CONTROL!$C$12, $D$11, 100%, $F$11)</f>
        <v>18.881799999999998</v>
      </c>
      <c r="K694" s="4"/>
      <c r="L694" s="9">
        <v>28.568200000000001</v>
      </c>
      <c r="M694" s="9">
        <v>11.6745</v>
      </c>
      <c r="N694" s="9">
        <v>4.7850000000000001</v>
      </c>
      <c r="O694" s="9">
        <v>0.36249999999999999</v>
      </c>
      <c r="P694" s="9">
        <v>1.1798</v>
      </c>
      <c r="Q694" s="9">
        <v>19.053000000000001</v>
      </c>
      <c r="R694" s="9"/>
      <c r="S694" s="11"/>
    </row>
    <row r="695" spans="1:19" ht="15.75">
      <c r="A695" s="13">
        <v>63036</v>
      </c>
      <c r="B695" s="8">
        <f>CHOOSE( CONTROL!$C$29, 20.5582, 20.5539) * CHOOSE(CONTROL!$C$12, $D$11, 100%, $F$11)</f>
        <v>20.558199999999999</v>
      </c>
      <c r="C695" s="8">
        <f>CHOOSE( CONTROL!$C$29, 20.5686, 20.5644) * CHOOSE(CONTROL!$C$12, $D$11, 100%, $F$11)</f>
        <v>20.5686</v>
      </c>
      <c r="D695" s="8">
        <f>CHOOSE( CONTROL!$C$29, 20.5747, 20.5705) * CHOOSE( CONTROL!$C$12, $D$11, 100%, $F$11)</f>
        <v>20.5747</v>
      </c>
      <c r="E695" s="12">
        <f>CHOOSE( CONTROL!$C$29, 20.5709, 20.5667) * CHOOSE( CONTROL!$C$12, $D$11, 100%, $F$11)</f>
        <v>20.570900000000002</v>
      </c>
      <c r="F695" s="4">
        <f>CHOOSE( CONTROL!$C$29, 21.568, 21.5638) * CHOOSE(CONTROL!$C$12, $D$11, 100%, $F$11)</f>
        <v>21.568000000000001</v>
      </c>
      <c r="G695" s="8">
        <f>CHOOSE( CONTROL!$C$29, 20.0403, 20.0361) * CHOOSE( CONTROL!$C$12, $D$11, 100%, $F$11)</f>
        <v>20.040299999999998</v>
      </c>
      <c r="H695" s="4">
        <f>CHOOSE( CONTROL!$C$29, 20.9477, 20.9435) * CHOOSE(CONTROL!$C$12, $D$11, 100%, $F$11)</f>
        <v>20.947700000000001</v>
      </c>
      <c r="I695" s="8">
        <f>CHOOSE( CONTROL!$C$29, 19.7881, 19.784) * CHOOSE(CONTROL!$C$12, $D$11, 100%, $F$11)</f>
        <v>19.7881</v>
      </c>
      <c r="J695" s="4">
        <f>CHOOSE( CONTROL!$C$29, 19.6941, 19.69) * CHOOSE(CONTROL!$C$12, $D$11, 100%, $F$11)</f>
        <v>19.694099999999999</v>
      </c>
      <c r="K695" s="4"/>
      <c r="L695" s="9">
        <v>29.520499999999998</v>
      </c>
      <c r="M695" s="9">
        <v>12.063700000000001</v>
      </c>
      <c r="N695" s="9">
        <v>4.9444999999999997</v>
      </c>
      <c r="O695" s="9">
        <v>0.37459999999999999</v>
      </c>
      <c r="P695" s="9">
        <v>1.2192000000000001</v>
      </c>
      <c r="Q695" s="9">
        <v>19.688099999999999</v>
      </c>
      <c r="R695" s="9"/>
      <c r="S695" s="11"/>
    </row>
    <row r="696" spans="1:19" ht="15.75">
      <c r="A696" s="13">
        <v>63067</v>
      </c>
      <c r="B696" s="8">
        <f>CHOOSE( CONTROL!$C$29, 18.972, 18.9677) * CHOOSE(CONTROL!$C$12, $D$11, 100%, $F$11)</f>
        <v>18.972000000000001</v>
      </c>
      <c r="C696" s="8">
        <f>CHOOSE( CONTROL!$C$29, 18.9824, 18.9781) * CHOOSE(CONTROL!$C$12, $D$11, 100%, $F$11)</f>
        <v>18.982399999999998</v>
      </c>
      <c r="D696" s="8">
        <f>CHOOSE( CONTROL!$C$29, 19.005, 19.0007) * CHOOSE( CONTROL!$C$12, $D$11, 100%, $F$11)</f>
        <v>19.004999999999999</v>
      </c>
      <c r="E696" s="12">
        <f>CHOOSE( CONTROL!$C$29, 18.9952, 18.9909) * CHOOSE( CONTROL!$C$12, $D$11, 100%, $F$11)</f>
        <v>18.995200000000001</v>
      </c>
      <c r="F696" s="4">
        <f>CHOOSE( CONTROL!$C$29, 20.0105, 20.0063) * CHOOSE(CONTROL!$C$12, $D$11, 100%, $F$11)</f>
        <v>20.0105</v>
      </c>
      <c r="G696" s="8">
        <f>CHOOSE( CONTROL!$C$29, 18.4997, 18.4955) * CHOOSE( CONTROL!$C$12, $D$11, 100%, $F$11)</f>
        <v>18.499700000000001</v>
      </c>
      <c r="H696" s="4">
        <f>CHOOSE( CONTROL!$C$29, 19.4294, 19.4253) * CHOOSE(CONTROL!$C$12, $D$11, 100%, $F$11)</f>
        <v>19.429400000000001</v>
      </c>
      <c r="I696" s="8">
        <f>CHOOSE( CONTROL!$C$29, 18.2589, 18.2548) * CHOOSE(CONTROL!$C$12, $D$11, 100%, $F$11)</f>
        <v>18.258900000000001</v>
      </c>
      <c r="J696" s="4">
        <f>CHOOSE( CONTROL!$C$29, 18.1742, 18.1701) * CHOOSE(CONTROL!$C$12, $D$11, 100%, $F$11)</f>
        <v>18.174199999999999</v>
      </c>
      <c r="K696" s="4"/>
      <c r="L696" s="9">
        <v>29.520499999999998</v>
      </c>
      <c r="M696" s="9">
        <v>12.063700000000001</v>
      </c>
      <c r="N696" s="9">
        <v>4.9444999999999997</v>
      </c>
      <c r="O696" s="9">
        <v>0.37459999999999999</v>
      </c>
      <c r="P696" s="9">
        <v>1.2192000000000001</v>
      </c>
      <c r="Q696" s="9">
        <v>19.688099999999999</v>
      </c>
      <c r="R696" s="9"/>
      <c r="S696" s="11"/>
    </row>
    <row r="697" spans="1:19" ht="15.75">
      <c r="A697" s="13">
        <v>63097</v>
      </c>
      <c r="B697" s="8">
        <f>CHOOSE( CONTROL!$C$29, 18.5747, 18.5705) * CHOOSE(CONTROL!$C$12, $D$11, 100%, $F$11)</f>
        <v>18.5747</v>
      </c>
      <c r="C697" s="8">
        <f>CHOOSE( CONTROL!$C$29, 18.5852, 18.5809) * CHOOSE(CONTROL!$C$12, $D$11, 100%, $F$11)</f>
        <v>18.5852</v>
      </c>
      <c r="D697" s="8">
        <f>CHOOSE( CONTROL!$C$29, 18.6077, 18.6035) * CHOOSE( CONTROL!$C$12, $D$11, 100%, $F$11)</f>
        <v>18.607700000000001</v>
      </c>
      <c r="E697" s="12">
        <f>CHOOSE( CONTROL!$C$29, 18.5979, 18.5937) * CHOOSE( CONTROL!$C$12, $D$11, 100%, $F$11)</f>
        <v>18.597899999999999</v>
      </c>
      <c r="F697" s="4">
        <f>CHOOSE( CONTROL!$C$29, 19.6133, 19.6091) * CHOOSE(CONTROL!$C$12, $D$11, 100%, $F$11)</f>
        <v>19.613299999999999</v>
      </c>
      <c r="G697" s="8">
        <f>CHOOSE( CONTROL!$C$29, 18.1122, 18.108) * CHOOSE( CONTROL!$C$12, $D$11, 100%, $F$11)</f>
        <v>18.112200000000001</v>
      </c>
      <c r="H697" s="4">
        <f>CHOOSE( CONTROL!$C$29, 19.0422, 19.0381) * CHOOSE(CONTROL!$C$12, $D$11, 100%, $F$11)</f>
        <v>19.042200000000001</v>
      </c>
      <c r="I697" s="8">
        <f>CHOOSE( CONTROL!$C$29, 17.8764, 17.8723) * CHOOSE(CONTROL!$C$12, $D$11, 100%, $F$11)</f>
        <v>17.8764</v>
      </c>
      <c r="J697" s="4">
        <f>CHOOSE( CONTROL!$C$29, 17.7936, 17.7895) * CHOOSE(CONTROL!$C$12, $D$11, 100%, $F$11)</f>
        <v>17.793600000000001</v>
      </c>
      <c r="K697" s="4"/>
      <c r="L697" s="9">
        <v>28.568200000000001</v>
      </c>
      <c r="M697" s="9">
        <v>11.6745</v>
      </c>
      <c r="N697" s="9">
        <v>4.7850000000000001</v>
      </c>
      <c r="O697" s="9">
        <v>0.36249999999999999</v>
      </c>
      <c r="P697" s="9">
        <v>1.1798</v>
      </c>
      <c r="Q697" s="9">
        <v>19.053000000000001</v>
      </c>
      <c r="R697" s="9"/>
      <c r="S697" s="11"/>
    </row>
    <row r="698" spans="1:19" ht="15.75">
      <c r="A698" s="13">
        <v>63128</v>
      </c>
      <c r="B698" s="8">
        <f>19.3952 * CHOOSE(CONTROL!$C$12, $D$11, 100%, $F$11)</f>
        <v>19.395199999999999</v>
      </c>
      <c r="C698" s="8">
        <f>19.4057 * CHOOSE(CONTROL!$C$12, $D$11, 100%, $F$11)</f>
        <v>19.4057</v>
      </c>
      <c r="D698" s="8">
        <f>19.4101 * CHOOSE( CONTROL!$C$12, $D$11, 100%, $F$11)</f>
        <v>19.4101</v>
      </c>
      <c r="E698" s="12">
        <f>19.4075 * CHOOSE( CONTROL!$C$12, $D$11, 100%, $F$11)</f>
        <v>19.407499999999999</v>
      </c>
      <c r="F698" s="4">
        <f>20.4025 * CHOOSE(CONTROL!$C$12, $D$11, 100%, $F$11)</f>
        <v>20.4025</v>
      </c>
      <c r="G698" s="8">
        <f>18.9022 * CHOOSE( CONTROL!$C$12, $D$11, 100%, $F$11)</f>
        <v>18.902200000000001</v>
      </c>
      <c r="H698" s="4">
        <f>19.8115 * CHOOSE(CONTROL!$C$12, $D$11, 100%, $F$11)</f>
        <v>19.811499999999999</v>
      </c>
      <c r="I698" s="8">
        <f>18.6596 * CHOOSE(CONTROL!$C$12, $D$11, 100%, $F$11)</f>
        <v>18.659600000000001</v>
      </c>
      <c r="J698" s="4">
        <f>18.5798 * CHOOSE(CONTROL!$C$12, $D$11, 100%, $F$11)</f>
        <v>18.579799999999999</v>
      </c>
      <c r="K698" s="4"/>
      <c r="L698" s="9">
        <v>28.921800000000001</v>
      </c>
      <c r="M698" s="9">
        <v>12.063700000000001</v>
      </c>
      <c r="N698" s="9">
        <v>4.9444999999999997</v>
      </c>
      <c r="O698" s="9">
        <v>0.37459999999999999</v>
      </c>
      <c r="P698" s="9">
        <v>1.2192000000000001</v>
      </c>
      <c r="Q698" s="9">
        <v>19.688099999999999</v>
      </c>
      <c r="R698" s="9"/>
      <c r="S698" s="11"/>
    </row>
    <row r="699" spans="1:19" ht="15.75">
      <c r="A699" s="13">
        <v>63158</v>
      </c>
      <c r="B699" s="8">
        <f>20.9176 * CHOOSE(CONTROL!$C$12, $D$11, 100%, $F$11)</f>
        <v>20.9176</v>
      </c>
      <c r="C699" s="8">
        <f>20.928 * CHOOSE(CONTROL!$C$12, $D$11, 100%, $F$11)</f>
        <v>20.928000000000001</v>
      </c>
      <c r="D699" s="8">
        <f>20.9104 * CHOOSE( CONTROL!$C$12, $D$11, 100%, $F$11)</f>
        <v>20.910399999999999</v>
      </c>
      <c r="E699" s="12">
        <f>20.9157 * CHOOSE( CONTROL!$C$12, $D$11, 100%, $F$11)</f>
        <v>20.915700000000001</v>
      </c>
      <c r="F699" s="4">
        <f>21.9118 * CHOOSE(CONTROL!$C$12, $D$11, 100%, $F$11)</f>
        <v>21.911799999999999</v>
      </c>
      <c r="G699" s="8">
        <f>20.3986 * CHOOSE( CONTROL!$C$12, $D$11, 100%, $F$11)</f>
        <v>20.398599999999998</v>
      </c>
      <c r="H699" s="4">
        <f>21.2827 * CHOOSE(CONTROL!$C$12, $D$11, 100%, $F$11)</f>
        <v>21.282699999999998</v>
      </c>
      <c r="I699" s="8">
        <f>20.1425 * CHOOSE(CONTROL!$C$12, $D$11, 100%, $F$11)</f>
        <v>20.142499999999998</v>
      </c>
      <c r="J699" s="4">
        <f>20.0385 * CHOOSE(CONTROL!$C$12, $D$11, 100%, $F$11)</f>
        <v>20.038499999999999</v>
      </c>
      <c r="K699" s="4"/>
      <c r="L699" s="9">
        <v>26.515499999999999</v>
      </c>
      <c r="M699" s="9">
        <v>11.6745</v>
      </c>
      <c r="N699" s="9">
        <v>4.7850000000000001</v>
      </c>
      <c r="O699" s="9">
        <v>0.36249999999999999</v>
      </c>
      <c r="P699" s="9">
        <v>1.2522</v>
      </c>
      <c r="Q699" s="9">
        <v>19.053000000000001</v>
      </c>
      <c r="R699" s="9"/>
      <c r="S699" s="11"/>
    </row>
    <row r="700" spans="1:19" ht="15.75">
      <c r="A700" s="13">
        <v>63189</v>
      </c>
      <c r="B700" s="8">
        <f>20.8795 * CHOOSE(CONTROL!$C$12, $D$11, 100%, $F$11)</f>
        <v>20.8795</v>
      </c>
      <c r="C700" s="8">
        <f>20.89 * CHOOSE(CONTROL!$C$12, $D$11, 100%, $F$11)</f>
        <v>20.89</v>
      </c>
      <c r="D700" s="8">
        <f>20.8744 * CHOOSE( CONTROL!$C$12, $D$11, 100%, $F$11)</f>
        <v>20.874400000000001</v>
      </c>
      <c r="E700" s="12">
        <f>20.879 * CHOOSE( CONTROL!$C$12, $D$11, 100%, $F$11)</f>
        <v>20.879000000000001</v>
      </c>
      <c r="F700" s="4">
        <f>21.8737 * CHOOSE(CONTROL!$C$12, $D$11, 100%, $F$11)</f>
        <v>21.873699999999999</v>
      </c>
      <c r="G700" s="8">
        <f>20.3631 * CHOOSE( CONTROL!$C$12, $D$11, 100%, $F$11)</f>
        <v>20.363099999999999</v>
      </c>
      <c r="H700" s="4">
        <f>21.2456 * CHOOSE(CONTROL!$C$12, $D$11, 100%, $F$11)</f>
        <v>21.2456</v>
      </c>
      <c r="I700" s="8">
        <f>20.1132 * CHOOSE(CONTROL!$C$12, $D$11, 100%, $F$11)</f>
        <v>20.113199999999999</v>
      </c>
      <c r="J700" s="4">
        <f>20.002 * CHOOSE(CONTROL!$C$12, $D$11, 100%, $F$11)</f>
        <v>20.001999999999999</v>
      </c>
      <c r="K700" s="4"/>
      <c r="L700" s="9">
        <v>27.3993</v>
      </c>
      <c r="M700" s="9">
        <v>12.063700000000001</v>
      </c>
      <c r="N700" s="9">
        <v>4.9444999999999997</v>
      </c>
      <c r="O700" s="9">
        <v>0.37459999999999999</v>
      </c>
      <c r="P700" s="9">
        <v>1.2939000000000001</v>
      </c>
      <c r="Q700" s="9">
        <v>19.688099999999999</v>
      </c>
      <c r="R700" s="9"/>
      <c r="S700" s="11"/>
    </row>
    <row r="701" spans="1:19" ht="15.75">
      <c r="A701" s="13">
        <v>63220</v>
      </c>
      <c r="B701" s="8">
        <f>21.6773 * CHOOSE(CONTROL!$C$12, $D$11, 100%, $F$11)</f>
        <v>21.677299999999999</v>
      </c>
      <c r="C701" s="8">
        <f>21.6878 * CHOOSE(CONTROL!$C$12, $D$11, 100%, $F$11)</f>
        <v>21.687799999999999</v>
      </c>
      <c r="D701" s="8">
        <f>21.6854 * CHOOSE( CONTROL!$C$12, $D$11, 100%, $F$11)</f>
        <v>21.685400000000001</v>
      </c>
      <c r="E701" s="12">
        <f>21.6852 * CHOOSE( CONTROL!$C$12, $D$11, 100%, $F$11)</f>
        <v>21.685199999999998</v>
      </c>
      <c r="F701" s="4">
        <f>22.7002 * CHOOSE(CONTROL!$C$12, $D$11, 100%, $F$11)</f>
        <v>22.700199999999999</v>
      </c>
      <c r="G701" s="8">
        <f>21.1579 * CHOOSE( CONTROL!$C$12, $D$11, 100%, $F$11)</f>
        <v>21.157900000000001</v>
      </c>
      <c r="H701" s="4">
        <f>22.0513 * CHOOSE(CONTROL!$C$12, $D$11, 100%, $F$11)</f>
        <v>22.051300000000001</v>
      </c>
      <c r="I701" s="8">
        <f>20.8854 * CHOOSE(CONTROL!$C$12, $D$11, 100%, $F$11)</f>
        <v>20.885400000000001</v>
      </c>
      <c r="J701" s="4">
        <f>20.7665 * CHOOSE(CONTROL!$C$12, $D$11, 100%, $F$11)</f>
        <v>20.766500000000001</v>
      </c>
      <c r="K701" s="4"/>
      <c r="L701" s="9">
        <v>27.3993</v>
      </c>
      <c r="M701" s="9">
        <v>12.063700000000001</v>
      </c>
      <c r="N701" s="9">
        <v>4.9444999999999997</v>
      </c>
      <c r="O701" s="9">
        <v>0.37459999999999999</v>
      </c>
      <c r="P701" s="9">
        <v>1.2939000000000001</v>
      </c>
      <c r="Q701" s="9">
        <v>19.688099999999999</v>
      </c>
      <c r="R701" s="9"/>
      <c r="S701" s="11"/>
    </row>
    <row r="702" spans="1:19" ht="15.75">
      <c r="A702" s="13">
        <v>63248</v>
      </c>
      <c r="B702" s="8">
        <f>20.2763 * CHOOSE(CONTROL!$C$12, $D$11, 100%, $F$11)</f>
        <v>20.276299999999999</v>
      </c>
      <c r="C702" s="8">
        <f>20.2867 * CHOOSE(CONTROL!$C$12, $D$11, 100%, $F$11)</f>
        <v>20.2867</v>
      </c>
      <c r="D702" s="8">
        <f>20.2867 * CHOOSE( CONTROL!$C$12, $D$11, 100%, $F$11)</f>
        <v>20.2867</v>
      </c>
      <c r="E702" s="12">
        <f>20.2856 * CHOOSE( CONTROL!$C$12, $D$11, 100%, $F$11)</f>
        <v>20.285599999999999</v>
      </c>
      <c r="F702" s="4">
        <f>21.2913 * CHOOSE(CONTROL!$C$12, $D$11, 100%, $F$11)</f>
        <v>21.2913</v>
      </c>
      <c r="G702" s="8">
        <f>19.7921 * CHOOSE( CONTROL!$C$12, $D$11, 100%, $F$11)</f>
        <v>19.792100000000001</v>
      </c>
      <c r="H702" s="4">
        <f>20.6779 * CHOOSE(CONTROL!$C$12, $D$11, 100%, $F$11)</f>
        <v>20.677900000000001</v>
      </c>
      <c r="I702" s="8">
        <f>19.5313 * CHOOSE(CONTROL!$C$12, $D$11, 100%, $F$11)</f>
        <v>19.531300000000002</v>
      </c>
      <c r="J702" s="4">
        <f>19.424 * CHOOSE(CONTROL!$C$12, $D$11, 100%, $F$11)</f>
        <v>19.423999999999999</v>
      </c>
      <c r="K702" s="4"/>
      <c r="L702" s="9">
        <v>24.747800000000002</v>
      </c>
      <c r="M702" s="9">
        <v>10.8962</v>
      </c>
      <c r="N702" s="9">
        <v>4.4660000000000002</v>
      </c>
      <c r="O702" s="9">
        <v>0.33829999999999999</v>
      </c>
      <c r="P702" s="9">
        <v>1.1687000000000001</v>
      </c>
      <c r="Q702" s="9">
        <v>17.782800000000002</v>
      </c>
      <c r="R702" s="9"/>
      <c r="S702" s="11"/>
    </row>
    <row r="703" spans="1:19" ht="15.75">
      <c r="A703" s="13">
        <v>63279</v>
      </c>
      <c r="B703" s="8">
        <f>19.8447 * CHOOSE(CONTROL!$C$12, $D$11, 100%, $F$11)</f>
        <v>19.8447</v>
      </c>
      <c r="C703" s="8">
        <f>19.8552 * CHOOSE(CONTROL!$C$12, $D$11, 100%, $F$11)</f>
        <v>19.8552</v>
      </c>
      <c r="D703" s="8">
        <f>19.835 * CHOOSE( CONTROL!$C$12, $D$11, 100%, $F$11)</f>
        <v>19.835000000000001</v>
      </c>
      <c r="E703" s="12">
        <f>19.8413 * CHOOSE( CONTROL!$C$12, $D$11, 100%, $F$11)</f>
        <v>19.8413</v>
      </c>
      <c r="F703" s="4">
        <f>20.8436 * CHOOSE(CONTROL!$C$12, $D$11, 100%, $F$11)</f>
        <v>20.843599999999999</v>
      </c>
      <c r="G703" s="8">
        <f>19.3509 * CHOOSE( CONTROL!$C$12, $D$11, 100%, $F$11)</f>
        <v>19.350899999999999</v>
      </c>
      <c r="H703" s="4">
        <f>20.2415 * CHOOSE(CONTROL!$C$12, $D$11, 100%, $F$11)</f>
        <v>20.241499999999998</v>
      </c>
      <c r="I703" s="8">
        <f>19.0781 * CHOOSE(CONTROL!$C$12, $D$11, 100%, $F$11)</f>
        <v>19.078099999999999</v>
      </c>
      <c r="J703" s="4">
        <f>19.0105 * CHOOSE(CONTROL!$C$12, $D$11, 100%, $F$11)</f>
        <v>19.0105</v>
      </c>
      <c r="K703" s="4"/>
      <c r="L703" s="9">
        <v>27.3993</v>
      </c>
      <c r="M703" s="9">
        <v>12.063700000000001</v>
      </c>
      <c r="N703" s="9">
        <v>4.9444999999999997</v>
      </c>
      <c r="O703" s="9">
        <v>0.37459999999999999</v>
      </c>
      <c r="P703" s="9">
        <v>1.2939000000000001</v>
      </c>
      <c r="Q703" s="9">
        <v>19.688099999999999</v>
      </c>
      <c r="R703" s="9"/>
      <c r="S703" s="11"/>
    </row>
    <row r="704" spans="1:19" ht="15.75">
      <c r="A704" s="13">
        <v>63309</v>
      </c>
      <c r="B704" s="8">
        <f>20.1463 * CHOOSE(CONTROL!$C$12, $D$11, 100%, $F$11)</f>
        <v>20.1463</v>
      </c>
      <c r="C704" s="8">
        <f>20.1567 * CHOOSE(CONTROL!$C$12, $D$11, 100%, $F$11)</f>
        <v>20.156700000000001</v>
      </c>
      <c r="D704" s="8">
        <f>20.1599 * CHOOSE( CONTROL!$C$12, $D$11, 100%, $F$11)</f>
        <v>20.1599</v>
      </c>
      <c r="E704" s="12">
        <f>20.1577 * CHOOSE( CONTROL!$C$12, $D$11, 100%, $F$11)</f>
        <v>20.157699999999998</v>
      </c>
      <c r="F704" s="4">
        <f>21.1535 * CHOOSE(CONTROL!$C$12, $D$11, 100%, $F$11)</f>
        <v>21.153500000000001</v>
      </c>
      <c r="G704" s="8">
        <f>19.6327 * CHOOSE( CONTROL!$C$12, $D$11, 100%, $F$11)</f>
        <v>19.6327</v>
      </c>
      <c r="H704" s="4">
        <f>20.5436 * CHOOSE(CONTROL!$C$12, $D$11, 100%, $F$11)</f>
        <v>20.543600000000001</v>
      </c>
      <c r="I704" s="8">
        <f>19.3573 * CHOOSE(CONTROL!$C$12, $D$11, 100%, $F$11)</f>
        <v>19.357299999999999</v>
      </c>
      <c r="J704" s="4">
        <f>19.2994 * CHOOSE(CONTROL!$C$12, $D$11, 100%, $F$11)</f>
        <v>19.299399999999999</v>
      </c>
      <c r="K704" s="4"/>
      <c r="L704" s="9">
        <v>27.988800000000001</v>
      </c>
      <c r="M704" s="9">
        <v>11.6745</v>
      </c>
      <c r="N704" s="9">
        <v>4.7850000000000001</v>
      </c>
      <c r="O704" s="9">
        <v>0.36249999999999999</v>
      </c>
      <c r="P704" s="9">
        <v>1.1798</v>
      </c>
      <c r="Q704" s="9">
        <v>19.053000000000001</v>
      </c>
      <c r="R704" s="9"/>
      <c r="S704" s="11"/>
    </row>
    <row r="705" spans="1:19" ht="15.75">
      <c r="A705" s="13">
        <v>63340</v>
      </c>
      <c r="B705" s="8">
        <f>CHOOSE( CONTROL!$C$29, 20.6872, 20.683) * CHOOSE(CONTROL!$C$12, $D$11, 100%, $F$11)</f>
        <v>20.687200000000001</v>
      </c>
      <c r="C705" s="8">
        <f>CHOOSE( CONTROL!$C$29, 20.6976, 20.6934) * CHOOSE(CONTROL!$C$12, $D$11, 100%, $F$11)</f>
        <v>20.697600000000001</v>
      </c>
      <c r="D705" s="8">
        <f>CHOOSE( CONTROL!$C$29, 20.6755, 20.6713) * CHOOSE( CONTROL!$C$12, $D$11, 100%, $F$11)</f>
        <v>20.6755</v>
      </c>
      <c r="E705" s="12">
        <f>CHOOSE( CONTROL!$C$29, 20.6819, 20.6777) * CHOOSE( CONTROL!$C$12, $D$11, 100%, $F$11)</f>
        <v>20.681899999999999</v>
      </c>
      <c r="F705" s="4">
        <f>CHOOSE( CONTROL!$C$29, 21.6621, 21.6579) * CHOOSE(CONTROL!$C$12, $D$11, 100%, $F$11)</f>
        <v>21.662099999999999</v>
      </c>
      <c r="G705" s="8">
        <f>CHOOSE( CONTROL!$C$29, 20.1412, 20.1371) * CHOOSE( CONTROL!$C$12, $D$11, 100%, $F$11)</f>
        <v>20.141200000000001</v>
      </c>
      <c r="H705" s="4">
        <f>CHOOSE( CONTROL!$C$29, 21.0393, 21.0352) * CHOOSE(CONTROL!$C$12, $D$11, 100%, $F$11)</f>
        <v>21.039300000000001</v>
      </c>
      <c r="I705" s="8">
        <f>CHOOSE( CONTROL!$C$29, 19.8543, 19.8503) * CHOOSE(CONTROL!$C$12, $D$11, 100%, $F$11)</f>
        <v>19.854299999999999</v>
      </c>
      <c r="J705" s="4">
        <f>CHOOSE( CONTROL!$C$29, 19.8177, 19.8136) * CHOOSE(CONTROL!$C$12, $D$11, 100%, $F$11)</f>
        <v>19.817699999999999</v>
      </c>
      <c r="K705" s="4"/>
      <c r="L705" s="9">
        <v>29.520499999999998</v>
      </c>
      <c r="M705" s="9">
        <v>12.063700000000001</v>
      </c>
      <c r="N705" s="9">
        <v>4.9444999999999997</v>
      </c>
      <c r="O705" s="9">
        <v>0.37459999999999999</v>
      </c>
      <c r="P705" s="9">
        <v>1.2192000000000001</v>
      </c>
      <c r="Q705" s="9">
        <v>19.688099999999999</v>
      </c>
      <c r="R705" s="9"/>
      <c r="S705" s="11"/>
    </row>
    <row r="706" spans="1:19" ht="15.75">
      <c r="A706" s="13">
        <v>63370</v>
      </c>
      <c r="B706" s="8">
        <f>CHOOSE( CONTROL!$C$29, 20.3547, 20.3505) * CHOOSE(CONTROL!$C$12, $D$11, 100%, $F$11)</f>
        <v>20.354700000000001</v>
      </c>
      <c r="C706" s="8">
        <f>CHOOSE( CONTROL!$C$29, 20.3652, 20.3609) * CHOOSE(CONTROL!$C$12, $D$11, 100%, $F$11)</f>
        <v>20.365200000000002</v>
      </c>
      <c r="D706" s="8">
        <f>CHOOSE( CONTROL!$C$29, 20.3375, 20.3333) * CHOOSE( CONTROL!$C$12, $D$11, 100%, $F$11)</f>
        <v>20.337499999999999</v>
      </c>
      <c r="E706" s="12">
        <f>CHOOSE( CONTROL!$C$29, 20.3459, 20.3417) * CHOOSE( CONTROL!$C$12, $D$11, 100%, $F$11)</f>
        <v>20.3459</v>
      </c>
      <c r="F706" s="4">
        <f>CHOOSE( CONTROL!$C$29, 21.3192, 21.315) * CHOOSE(CONTROL!$C$12, $D$11, 100%, $F$11)</f>
        <v>21.319199999999999</v>
      </c>
      <c r="G706" s="8">
        <f>CHOOSE( CONTROL!$C$29, 19.8159, 19.8118) * CHOOSE( CONTROL!$C$12, $D$11, 100%, $F$11)</f>
        <v>19.815899999999999</v>
      </c>
      <c r="H706" s="4">
        <f>CHOOSE( CONTROL!$C$29, 20.7051, 20.701) * CHOOSE(CONTROL!$C$12, $D$11, 100%, $F$11)</f>
        <v>20.705100000000002</v>
      </c>
      <c r="I706" s="8">
        <f>CHOOSE( CONTROL!$C$29, 19.5378, 19.5337) * CHOOSE(CONTROL!$C$12, $D$11, 100%, $F$11)</f>
        <v>19.537800000000001</v>
      </c>
      <c r="J706" s="4">
        <f>CHOOSE( CONTROL!$C$29, 19.4992, 19.4951) * CHOOSE(CONTROL!$C$12, $D$11, 100%, $F$11)</f>
        <v>19.499199999999998</v>
      </c>
      <c r="K706" s="4"/>
      <c r="L706" s="9">
        <v>28.568200000000001</v>
      </c>
      <c r="M706" s="9">
        <v>11.6745</v>
      </c>
      <c r="N706" s="9">
        <v>4.7850000000000001</v>
      </c>
      <c r="O706" s="9">
        <v>0.36249999999999999</v>
      </c>
      <c r="P706" s="9">
        <v>1.1798</v>
      </c>
      <c r="Q706" s="9">
        <v>19.053000000000001</v>
      </c>
      <c r="R706" s="9"/>
      <c r="S706" s="11"/>
    </row>
    <row r="707" spans="1:19" ht="15.75">
      <c r="A707" s="13">
        <v>63401</v>
      </c>
      <c r="B707" s="8">
        <f>CHOOSE( CONTROL!$C$29, 21.2302, 21.226) * CHOOSE(CONTROL!$C$12, $D$11, 100%, $F$11)</f>
        <v>21.2302</v>
      </c>
      <c r="C707" s="8">
        <f>CHOOSE( CONTROL!$C$29, 21.2406, 21.2364) * CHOOSE(CONTROL!$C$12, $D$11, 100%, $F$11)</f>
        <v>21.240600000000001</v>
      </c>
      <c r="D707" s="8">
        <f>CHOOSE( CONTROL!$C$29, 21.2468, 21.2425) * CHOOSE( CONTROL!$C$12, $D$11, 100%, $F$11)</f>
        <v>21.2468</v>
      </c>
      <c r="E707" s="12">
        <f>CHOOSE( CONTROL!$C$29, 21.243, 21.2387) * CHOOSE( CONTROL!$C$12, $D$11, 100%, $F$11)</f>
        <v>21.242999999999999</v>
      </c>
      <c r="F707" s="4">
        <f>CHOOSE( CONTROL!$C$29, 22.2401, 22.2358) * CHOOSE(CONTROL!$C$12, $D$11, 100%, $F$11)</f>
        <v>22.240100000000002</v>
      </c>
      <c r="G707" s="8">
        <f>CHOOSE( CONTROL!$C$29, 20.6953, 20.6912) * CHOOSE( CONTROL!$C$12, $D$11, 100%, $F$11)</f>
        <v>20.6953</v>
      </c>
      <c r="H707" s="4">
        <f>CHOOSE( CONTROL!$C$29, 21.6027, 21.5986) * CHOOSE(CONTROL!$C$12, $D$11, 100%, $F$11)</f>
        <v>21.602699999999999</v>
      </c>
      <c r="I707" s="8">
        <f>CHOOSE( CONTROL!$C$29, 20.4324, 20.4283) * CHOOSE(CONTROL!$C$12, $D$11, 100%, $F$11)</f>
        <v>20.432400000000001</v>
      </c>
      <c r="J707" s="4">
        <f>CHOOSE( CONTROL!$C$29, 20.338, 20.334) * CHOOSE(CONTROL!$C$12, $D$11, 100%, $F$11)</f>
        <v>20.338000000000001</v>
      </c>
      <c r="K707" s="4"/>
      <c r="L707" s="9">
        <v>29.520499999999998</v>
      </c>
      <c r="M707" s="9">
        <v>12.063700000000001</v>
      </c>
      <c r="N707" s="9">
        <v>4.9444999999999997</v>
      </c>
      <c r="O707" s="9">
        <v>0.37459999999999999</v>
      </c>
      <c r="P707" s="9">
        <v>1.2192000000000001</v>
      </c>
      <c r="Q707" s="9">
        <v>19.688099999999999</v>
      </c>
      <c r="R707" s="9"/>
      <c r="S707" s="11"/>
    </row>
    <row r="708" spans="1:19" ht="15.75">
      <c r="A708" s="13">
        <v>63432</v>
      </c>
      <c r="B708" s="8">
        <f>CHOOSE( CONTROL!$C$29, 19.5921, 19.5879) * CHOOSE(CONTROL!$C$12, $D$11, 100%, $F$11)</f>
        <v>19.592099999999999</v>
      </c>
      <c r="C708" s="8">
        <f>CHOOSE( CONTROL!$C$29, 19.6025, 19.5983) * CHOOSE(CONTROL!$C$12, $D$11, 100%, $F$11)</f>
        <v>19.602499999999999</v>
      </c>
      <c r="D708" s="8">
        <f>CHOOSE( CONTROL!$C$29, 19.6251, 19.6209) * CHOOSE( CONTROL!$C$12, $D$11, 100%, $F$11)</f>
        <v>19.6251</v>
      </c>
      <c r="E708" s="12">
        <f>CHOOSE( CONTROL!$C$29, 19.6153, 19.6111) * CHOOSE( CONTROL!$C$12, $D$11, 100%, $F$11)</f>
        <v>19.615300000000001</v>
      </c>
      <c r="F708" s="4">
        <f>CHOOSE( CONTROL!$C$29, 20.6307, 20.6264) * CHOOSE(CONTROL!$C$12, $D$11, 100%, $F$11)</f>
        <v>20.630700000000001</v>
      </c>
      <c r="G708" s="8">
        <f>CHOOSE( CONTROL!$C$29, 19.1042, 19.1) * CHOOSE( CONTROL!$C$12, $D$11, 100%, $F$11)</f>
        <v>19.104199999999999</v>
      </c>
      <c r="H708" s="4">
        <f>CHOOSE( CONTROL!$C$29, 20.0339, 20.0298) * CHOOSE(CONTROL!$C$12, $D$11, 100%, $F$11)</f>
        <v>20.033899999999999</v>
      </c>
      <c r="I708" s="8">
        <f>CHOOSE( CONTROL!$C$29, 18.8534, 18.8493) * CHOOSE(CONTROL!$C$12, $D$11, 100%, $F$11)</f>
        <v>18.853400000000001</v>
      </c>
      <c r="J708" s="4">
        <f>CHOOSE( CONTROL!$C$29, 18.7684, 18.7643) * CHOOSE(CONTROL!$C$12, $D$11, 100%, $F$11)</f>
        <v>18.7684</v>
      </c>
      <c r="K708" s="4"/>
      <c r="L708" s="9">
        <v>29.520499999999998</v>
      </c>
      <c r="M708" s="9">
        <v>12.063700000000001</v>
      </c>
      <c r="N708" s="9">
        <v>4.9444999999999997</v>
      </c>
      <c r="O708" s="9">
        <v>0.37459999999999999</v>
      </c>
      <c r="P708" s="9">
        <v>1.2192000000000001</v>
      </c>
      <c r="Q708" s="9">
        <v>19.688099999999999</v>
      </c>
      <c r="R708" s="9"/>
      <c r="S708" s="11"/>
    </row>
    <row r="709" spans="1:19" ht="15.75">
      <c r="A709" s="13">
        <v>63462</v>
      </c>
      <c r="B709" s="8">
        <f>CHOOSE( CONTROL!$C$29, 19.1819, 19.1777) * CHOOSE(CONTROL!$C$12, $D$11, 100%, $F$11)</f>
        <v>19.181899999999999</v>
      </c>
      <c r="C709" s="8">
        <f>CHOOSE( CONTROL!$C$29, 19.1923, 19.1881) * CHOOSE(CONTROL!$C$12, $D$11, 100%, $F$11)</f>
        <v>19.192299999999999</v>
      </c>
      <c r="D709" s="8">
        <f>CHOOSE( CONTROL!$C$29, 19.2149, 19.2107) * CHOOSE( CONTROL!$C$12, $D$11, 100%, $F$11)</f>
        <v>19.2149</v>
      </c>
      <c r="E709" s="12">
        <f>CHOOSE( CONTROL!$C$29, 19.2051, 19.2009) * CHOOSE( CONTROL!$C$12, $D$11, 100%, $F$11)</f>
        <v>19.205100000000002</v>
      </c>
      <c r="F709" s="4">
        <f>CHOOSE( CONTROL!$C$29, 20.2205, 20.2162) * CHOOSE(CONTROL!$C$12, $D$11, 100%, $F$11)</f>
        <v>20.220500000000001</v>
      </c>
      <c r="G709" s="8">
        <f>CHOOSE( CONTROL!$C$29, 18.704, 18.6999) * CHOOSE( CONTROL!$C$12, $D$11, 100%, $F$11)</f>
        <v>18.704000000000001</v>
      </c>
      <c r="H709" s="4">
        <f>CHOOSE( CONTROL!$C$29, 19.6341, 19.63) * CHOOSE(CONTROL!$C$12, $D$11, 100%, $F$11)</f>
        <v>19.6341</v>
      </c>
      <c r="I709" s="8">
        <f>CHOOSE( CONTROL!$C$29, 18.4584, 18.4544) * CHOOSE(CONTROL!$C$12, $D$11, 100%, $F$11)</f>
        <v>18.458400000000001</v>
      </c>
      <c r="J709" s="4">
        <f>CHOOSE( CONTROL!$C$29, 18.3753, 18.3713) * CHOOSE(CONTROL!$C$12, $D$11, 100%, $F$11)</f>
        <v>18.375299999999999</v>
      </c>
      <c r="K709" s="4"/>
      <c r="L709" s="9">
        <v>28.568200000000001</v>
      </c>
      <c r="M709" s="9">
        <v>11.6745</v>
      </c>
      <c r="N709" s="9">
        <v>4.7850000000000001</v>
      </c>
      <c r="O709" s="9">
        <v>0.36249999999999999</v>
      </c>
      <c r="P709" s="9">
        <v>1.1798</v>
      </c>
      <c r="Q709" s="9">
        <v>19.053000000000001</v>
      </c>
      <c r="R709" s="9"/>
      <c r="S709" s="11"/>
    </row>
    <row r="710" spans="1:19" ht="15.75">
      <c r="A710" s="13">
        <v>63493</v>
      </c>
      <c r="B710" s="8">
        <f>20.0294 * CHOOSE(CONTROL!$C$12, $D$11, 100%, $F$11)</f>
        <v>20.029399999999999</v>
      </c>
      <c r="C710" s="8">
        <f>20.0398 * CHOOSE(CONTROL!$C$12, $D$11, 100%, $F$11)</f>
        <v>20.0398</v>
      </c>
      <c r="D710" s="8">
        <f>20.0442 * CHOOSE( CONTROL!$C$12, $D$11, 100%, $F$11)</f>
        <v>20.0442</v>
      </c>
      <c r="E710" s="12">
        <f>20.0416 * CHOOSE( CONTROL!$C$12, $D$11, 100%, $F$11)</f>
        <v>20.041599999999999</v>
      </c>
      <c r="F710" s="4">
        <f>21.0366 * CHOOSE(CONTROL!$C$12, $D$11, 100%, $F$11)</f>
        <v>21.0366</v>
      </c>
      <c r="G710" s="8">
        <f>19.5204 * CHOOSE( CONTROL!$C$12, $D$11, 100%, $F$11)</f>
        <v>19.520399999999999</v>
      </c>
      <c r="H710" s="4">
        <f>20.4297 * CHOOSE(CONTROL!$C$12, $D$11, 100%, $F$11)</f>
        <v>20.4297</v>
      </c>
      <c r="I710" s="8">
        <f>19.2675 * CHOOSE(CONTROL!$C$12, $D$11, 100%, $F$11)</f>
        <v>19.267499999999998</v>
      </c>
      <c r="J710" s="4">
        <f>19.1874 * CHOOSE(CONTROL!$C$12, $D$11, 100%, $F$11)</f>
        <v>19.1874</v>
      </c>
      <c r="K710" s="4"/>
      <c r="L710" s="9">
        <v>28.921800000000001</v>
      </c>
      <c r="M710" s="9">
        <v>12.063700000000001</v>
      </c>
      <c r="N710" s="9">
        <v>4.9444999999999997</v>
      </c>
      <c r="O710" s="9">
        <v>0.37459999999999999</v>
      </c>
      <c r="P710" s="9">
        <v>1.2192000000000001</v>
      </c>
      <c r="Q710" s="9">
        <v>19.688099999999999</v>
      </c>
      <c r="R710" s="9"/>
      <c r="S710" s="11"/>
    </row>
    <row r="711" spans="1:19" ht="15.75">
      <c r="A711" s="13">
        <v>63523</v>
      </c>
      <c r="B711" s="8">
        <f>21.6015 * CHOOSE(CONTROL!$C$12, $D$11, 100%, $F$11)</f>
        <v>21.601500000000001</v>
      </c>
      <c r="C711" s="8">
        <f>21.6119 * CHOOSE(CONTROL!$C$12, $D$11, 100%, $F$11)</f>
        <v>21.611899999999999</v>
      </c>
      <c r="D711" s="8">
        <f>21.5943 * CHOOSE( CONTROL!$C$12, $D$11, 100%, $F$11)</f>
        <v>21.5943</v>
      </c>
      <c r="E711" s="12">
        <f>21.5996 * CHOOSE( CONTROL!$C$12, $D$11, 100%, $F$11)</f>
        <v>21.599599999999999</v>
      </c>
      <c r="F711" s="4">
        <f>22.5957 * CHOOSE(CONTROL!$C$12, $D$11, 100%, $F$11)</f>
        <v>22.595700000000001</v>
      </c>
      <c r="G711" s="8">
        <f>21.0653 * CHOOSE( CONTROL!$C$12, $D$11, 100%, $F$11)</f>
        <v>21.065300000000001</v>
      </c>
      <c r="H711" s="4">
        <f>21.9494 * CHOOSE(CONTROL!$C$12, $D$11, 100%, $F$11)</f>
        <v>21.949400000000001</v>
      </c>
      <c r="I711" s="8">
        <f>20.7981 * CHOOSE(CONTROL!$C$12, $D$11, 100%, $F$11)</f>
        <v>20.798100000000002</v>
      </c>
      <c r="J711" s="4">
        <f>20.6938 * CHOOSE(CONTROL!$C$12, $D$11, 100%, $F$11)</f>
        <v>20.6938</v>
      </c>
      <c r="K711" s="4"/>
      <c r="L711" s="9">
        <v>26.515499999999999</v>
      </c>
      <c r="M711" s="9">
        <v>11.6745</v>
      </c>
      <c r="N711" s="9">
        <v>4.7850000000000001</v>
      </c>
      <c r="O711" s="9">
        <v>0.36249999999999999</v>
      </c>
      <c r="P711" s="9">
        <v>1.2522</v>
      </c>
      <c r="Q711" s="9">
        <v>19.053000000000001</v>
      </c>
      <c r="R711" s="9"/>
      <c r="S711" s="11"/>
    </row>
    <row r="712" spans="1:19" ht="15.75">
      <c r="A712" s="13">
        <v>63554</v>
      </c>
      <c r="B712" s="8">
        <f>21.5622 * CHOOSE(CONTROL!$C$12, $D$11, 100%, $F$11)</f>
        <v>21.562200000000001</v>
      </c>
      <c r="C712" s="8">
        <f>21.5726 * CHOOSE(CONTROL!$C$12, $D$11, 100%, $F$11)</f>
        <v>21.572600000000001</v>
      </c>
      <c r="D712" s="8">
        <f>21.557 * CHOOSE( CONTROL!$C$12, $D$11, 100%, $F$11)</f>
        <v>21.556999999999999</v>
      </c>
      <c r="E712" s="12">
        <f>21.5616 * CHOOSE( CONTROL!$C$12, $D$11, 100%, $F$11)</f>
        <v>21.561599999999999</v>
      </c>
      <c r="F712" s="4">
        <f>22.5564 * CHOOSE(CONTROL!$C$12, $D$11, 100%, $F$11)</f>
        <v>22.5564</v>
      </c>
      <c r="G712" s="8">
        <f>21.0285 * CHOOSE( CONTROL!$C$12, $D$11, 100%, $F$11)</f>
        <v>21.028500000000001</v>
      </c>
      <c r="H712" s="4">
        <f>21.9111 * CHOOSE(CONTROL!$C$12, $D$11, 100%, $F$11)</f>
        <v>21.911100000000001</v>
      </c>
      <c r="I712" s="8">
        <f>20.7677 * CHOOSE(CONTROL!$C$12, $D$11, 100%, $F$11)</f>
        <v>20.767700000000001</v>
      </c>
      <c r="J712" s="4">
        <f>20.6561 * CHOOSE(CONTROL!$C$12, $D$11, 100%, $F$11)</f>
        <v>20.656099999999999</v>
      </c>
      <c r="K712" s="4"/>
      <c r="L712" s="9">
        <v>27.3993</v>
      </c>
      <c r="M712" s="9">
        <v>12.063700000000001</v>
      </c>
      <c r="N712" s="9">
        <v>4.9444999999999997</v>
      </c>
      <c r="O712" s="9">
        <v>0.37459999999999999</v>
      </c>
      <c r="P712" s="9">
        <v>1.2939000000000001</v>
      </c>
      <c r="Q712" s="9">
        <v>19.688099999999999</v>
      </c>
      <c r="R712" s="9"/>
      <c r="S712" s="11"/>
    </row>
    <row r="713" spans="1:19" ht="15.75">
      <c r="A713" s="13">
        <v>63585</v>
      </c>
      <c r="B713" s="8">
        <f>22.3861 * CHOOSE(CONTROL!$C$12, $D$11, 100%, $F$11)</f>
        <v>22.386099999999999</v>
      </c>
      <c r="C713" s="8">
        <f>22.3965 * CHOOSE(CONTROL!$C$12, $D$11, 100%, $F$11)</f>
        <v>22.3965</v>
      </c>
      <c r="D713" s="8">
        <f>22.3942 * CHOOSE( CONTROL!$C$12, $D$11, 100%, $F$11)</f>
        <v>22.394200000000001</v>
      </c>
      <c r="E713" s="12">
        <f>22.3939 * CHOOSE( CONTROL!$C$12, $D$11, 100%, $F$11)</f>
        <v>22.393899999999999</v>
      </c>
      <c r="F713" s="4">
        <f>23.409 * CHOOSE(CONTROL!$C$12, $D$11, 100%, $F$11)</f>
        <v>23.408999999999999</v>
      </c>
      <c r="G713" s="8">
        <f>21.8488 * CHOOSE( CONTROL!$C$12, $D$11, 100%, $F$11)</f>
        <v>21.848800000000001</v>
      </c>
      <c r="H713" s="4">
        <f>22.7422 * CHOOSE(CONTROL!$C$12, $D$11, 100%, $F$11)</f>
        <v>22.7422</v>
      </c>
      <c r="I713" s="8">
        <f>21.5649 * CHOOSE(CONTROL!$C$12, $D$11, 100%, $F$11)</f>
        <v>21.564900000000002</v>
      </c>
      <c r="J713" s="4">
        <f>21.4456 * CHOOSE(CONTROL!$C$12, $D$11, 100%, $F$11)</f>
        <v>21.445599999999999</v>
      </c>
      <c r="K713" s="4"/>
      <c r="L713" s="9">
        <v>27.3993</v>
      </c>
      <c r="M713" s="9">
        <v>12.063700000000001</v>
      </c>
      <c r="N713" s="9">
        <v>4.9444999999999997</v>
      </c>
      <c r="O713" s="9">
        <v>0.37459999999999999</v>
      </c>
      <c r="P713" s="9">
        <v>1.2939000000000001</v>
      </c>
      <c r="Q713" s="9">
        <v>19.688099999999999</v>
      </c>
      <c r="R713" s="9"/>
      <c r="S713" s="11"/>
    </row>
    <row r="714" spans="1:19" ht="15.75">
      <c r="A714" s="13">
        <v>63613</v>
      </c>
      <c r="B714" s="8">
        <f>20.9392 * CHOOSE(CONTROL!$C$12, $D$11, 100%, $F$11)</f>
        <v>20.9392</v>
      </c>
      <c r="C714" s="8">
        <f>20.9496 * CHOOSE(CONTROL!$C$12, $D$11, 100%, $F$11)</f>
        <v>20.9496</v>
      </c>
      <c r="D714" s="8">
        <f>20.9496 * CHOOSE( CONTROL!$C$12, $D$11, 100%, $F$11)</f>
        <v>20.9496</v>
      </c>
      <c r="E714" s="12">
        <f>20.9485 * CHOOSE( CONTROL!$C$12, $D$11, 100%, $F$11)</f>
        <v>20.948499999999999</v>
      </c>
      <c r="F714" s="4">
        <f>21.9543 * CHOOSE(CONTROL!$C$12, $D$11, 100%, $F$11)</f>
        <v>21.9543</v>
      </c>
      <c r="G714" s="8">
        <f>20.4383 * CHOOSE( CONTROL!$C$12, $D$11, 100%, $F$11)</f>
        <v>20.438300000000002</v>
      </c>
      <c r="H714" s="4">
        <f>21.3242 * CHOOSE(CONTROL!$C$12, $D$11, 100%, $F$11)</f>
        <v>21.324200000000001</v>
      </c>
      <c r="I714" s="8">
        <f>20.1669 * CHOOSE(CONTROL!$C$12, $D$11, 100%, $F$11)</f>
        <v>20.166899999999998</v>
      </c>
      <c r="J714" s="4">
        <f>20.0592 * CHOOSE(CONTROL!$C$12, $D$11, 100%, $F$11)</f>
        <v>20.059200000000001</v>
      </c>
      <c r="K714" s="4"/>
      <c r="L714" s="9">
        <v>24.747800000000002</v>
      </c>
      <c r="M714" s="9">
        <v>10.8962</v>
      </c>
      <c r="N714" s="9">
        <v>4.4660000000000002</v>
      </c>
      <c r="O714" s="9">
        <v>0.33829999999999999</v>
      </c>
      <c r="P714" s="9">
        <v>1.1687000000000001</v>
      </c>
      <c r="Q714" s="9">
        <v>17.782800000000002</v>
      </c>
      <c r="R714" s="9"/>
      <c r="S714" s="11"/>
    </row>
    <row r="715" spans="1:19" ht="15.75">
      <c r="A715" s="13">
        <v>63644</v>
      </c>
      <c r="B715" s="8">
        <f>20.4936 * CHOOSE(CONTROL!$C$12, $D$11, 100%, $F$11)</f>
        <v>20.493600000000001</v>
      </c>
      <c r="C715" s="8">
        <f>20.504 * CHOOSE(CONTROL!$C$12, $D$11, 100%, $F$11)</f>
        <v>20.504000000000001</v>
      </c>
      <c r="D715" s="8">
        <f>20.4838 * CHOOSE( CONTROL!$C$12, $D$11, 100%, $F$11)</f>
        <v>20.483799999999999</v>
      </c>
      <c r="E715" s="12">
        <f>20.4901 * CHOOSE( CONTROL!$C$12, $D$11, 100%, $F$11)</f>
        <v>20.490100000000002</v>
      </c>
      <c r="F715" s="4">
        <f>21.4925 * CHOOSE(CONTROL!$C$12, $D$11, 100%, $F$11)</f>
        <v>21.4925</v>
      </c>
      <c r="G715" s="8">
        <f>19.9834 * CHOOSE( CONTROL!$C$12, $D$11, 100%, $F$11)</f>
        <v>19.9834</v>
      </c>
      <c r="H715" s="4">
        <f>20.874 * CHOOSE(CONTROL!$C$12, $D$11, 100%, $F$11)</f>
        <v>20.873999999999999</v>
      </c>
      <c r="I715" s="8">
        <f>19.7001 * CHOOSE(CONTROL!$C$12, $D$11, 100%, $F$11)</f>
        <v>19.700099999999999</v>
      </c>
      <c r="J715" s="4">
        <f>19.6322 * CHOOSE(CONTROL!$C$12, $D$11, 100%, $F$11)</f>
        <v>19.632200000000001</v>
      </c>
      <c r="K715" s="4"/>
      <c r="L715" s="9">
        <v>27.3993</v>
      </c>
      <c r="M715" s="9">
        <v>12.063700000000001</v>
      </c>
      <c r="N715" s="9">
        <v>4.9444999999999997</v>
      </c>
      <c r="O715" s="9">
        <v>0.37459999999999999</v>
      </c>
      <c r="P715" s="9">
        <v>1.2939000000000001</v>
      </c>
      <c r="Q715" s="9">
        <v>19.688099999999999</v>
      </c>
      <c r="R715" s="9"/>
      <c r="S715" s="11"/>
    </row>
    <row r="716" spans="1:19" ht="15.75">
      <c r="A716" s="13">
        <v>63674</v>
      </c>
      <c r="B716" s="8">
        <f>20.805 * CHOOSE(CONTROL!$C$12, $D$11, 100%, $F$11)</f>
        <v>20.805</v>
      </c>
      <c r="C716" s="8">
        <f>20.8154 * CHOOSE(CONTROL!$C$12, $D$11, 100%, $F$11)</f>
        <v>20.8154</v>
      </c>
      <c r="D716" s="8">
        <f>20.8186 * CHOOSE( CONTROL!$C$12, $D$11, 100%, $F$11)</f>
        <v>20.8186</v>
      </c>
      <c r="E716" s="12">
        <f>20.8164 * CHOOSE( CONTROL!$C$12, $D$11, 100%, $F$11)</f>
        <v>20.816400000000002</v>
      </c>
      <c r="F716" s="4">
        <f>21.8122 * CHOOSE(CONTROL!$C$12, $D$11, 100%, $F$11)</f>
        <v>21.812200000000001</v>
      </c>
      <c r="G716" s="8">
        <f>20.2748 * CHOOSE( CONTROL!$C$12, $D$11, 100%, $F$11)</f>
        <v>20.274799999999999</v>
      </c>
      <c r="H716" s="4">
        <f>21.1857 * CHOOSE(CONTROL!$C$12, $D$11, 100%, $F$11)</f>
        <v>21.185700000000001</v>
      </c>
      <c r="I716" s="8">
        <f>19.9888 * CHOOSE(CONTROL!$C$12, $D$11, 100%, $F$11)</f>
        <v>19.988800000000001</v>
      </c>
      <c r="J716" s="4">
        <f>19.9306 * CHOOSE(CONTROL!$C$12, $D$11, 100%, $F$11)</f>
        <v>19.930599999999998</v>
      </c>
      <c r="K716" s="4"/>
      <c r="L716" s="9">
        <v>27.988800000000001</v>
      </c>
      <c r="M716" s="9">
        <v>11.6745</v>
      </c>
      <c r="N716" s="9">
        <v>4.7850000000000001</v>
      </c>
      <c r="O716" s="9">
        <v>0.36249999999999999</v>
      </c>
      <c r="P716" s="9">
        <v>1.1798</v>
      </c>
      <c r="Q716" s="9">
        <v>19.053000000000001</v>
      </c>
      <c r="R716" s="9"/>
      <c r="S716" s="11"/>
    </row>
    <row r="717" spans="1:19" ht="15.75">
      <c r="A717" s="13">
        <v>63705</v>
      </c>
      <c r="B717" s="8">
        <f>CHOOSE( CONTROL!$C$29, 21.3634, 21.3592) * CHOOSE(CONTROL!$C$12, $D$11, 100%, $F$11)</f>
        <v>21.363399999999999</v>
      </c>
      <c r="C717" s="8">
        <f>CHOOSE( CONTROL!$C$29, 21.3739, 21.3696) * CHOOSE(CONTROL!$C$12, $D$11, 100%, $F$11)</f>
        <v>21.373899999999999</v>
      </c>
      <c r="D717" s="8">
        <f>CHOOSE( CONTROL!$C$29, 21.3518, 21.3476) * CHOOSE( CONTROL!$C$12, $D$11, 100%, $F$11)</f>
        <v>21.351800000000001</v>
      </c>
      <c r="E717" s="12">
        <f>CHOOSE( CONTROL!$C$29, 21.3582, 21.354) * CHOOSE( CONTROL!$C$12, $D$11, 100%, $F$11)</f>
        <v>21.3582</v>
      </c>
      <c r="F717" s="4">
        <f>CHOOSE( CONTROL!$C$29, 22.3383, 22.3341) * CHOOSE(CONTROL!$C$12, $D$11, 100%, $F$11)</f>
        <v>22.3383</v>
      </c>
      <c r="G717" s="8">
        <f>CHOOSE( CONTROL!$C$29, 20.8004, 20.7963) * CHOOSE( CONTROL!$C$12, $D$11, 100%, $F$11)</f>
        <v>20.8004</v>
      </c>
      <c r="H717" s="4">
        <f>CHOOSE( CONTROL!$C$29, 21.6985, 21.6944) * CHOOSE(CONTROL!$C$12, $D$11, 100%, $F$11)</f>
        <v>21.698499999999999</v>
      </c>
      <c r="I717" s="8">
        <f>CHOOSE( CONTROL!$C$29, 20.5026, 20.4986) * CHOOSE(CONTROL!$C$12, $D$11, 100%, $F$11)</f>
        <v>20.502600000000001</v>
      </c>
      <c r="J717" s="4">
        <f>CHOOSE( CONTROL!$C$29, 20.4657, 20.4616) * CHOOSE(CONTROL!$C$12, $D$11, 100%, $F$11)</f>
        <v>20.465699999999998</v>
      </c>
      <c r="K717" s="4"/>
      <c r="L717" s="9">
        <v>29.520499999999998</v>
      </c>
      <c r="M717" s="9">
        <v>12.063700000000001</v>
      </c>
      <c r="N717" s="9">
        <v>4.9444999999999997</v>
      </c>
      <c r="O717" s="9">
        <v>0.37459999999999999</v>
      </c>
      <c r="P717" s="9">
        <v>1.2192000000000001</v>
      </c>
      <c r="Q717" s="9">
        <v>19.688099999999999</v>
      </c>
      <c r="R717" s="9"/>
      <c r="S717" s="11"/>
    </row>
    <row r="718" spans="1:19" ht="15.75">
      <c r="A718" s="13">
        <v>63735</v>
      </c>
      <c r="B718" s="8">
        <f>CHOOSE( CONTROL!$C$29, 21.0201, 21.0159) * CHOOSE(CONTROL!$C$12, $D$11, 100%, $F$11)</f>
        <v>21.020099999999999</v>
      </c>
      <c r="C718" s="8">
        <f>CHOOSE( CONTROL!$C$29, 21.0305, 21.0263) * CHOOSE(CONTROL!$C$12, $D$11, 100%, $F$11)</f>
        <v>21.0305</v>
      </c>
      <c r="D718" s="8">
        <f>CHOOSE( CONTROL!$C$29, 21.0029, 20.9986) * CHOOSE( CONTROL!$C$12, $D$11, 100%, $F$11)</f>
        <v>21.0029</v>
      </c>
      <c r="E718" s="12">
        <f>CHOOSE( CONTROL!$C$29, 21.0113, 21.0071) * CHOOSE( CONTROL!$C$12, $D$11, 100%, $F$11)</f>
        <v>21.011299999999999</v>
      </c>
      <c r="F718" s="4">
        <f>CHOOSE( CONTROL!$C$29, 21.9846, 21.9803) * CHOOSE(CONTROL!$C$12, $D$11, 100%, $F$11)</f>
        <v>21.9846</v>
      </c>
      <c r="G718" s="8">
        <f>CHOOSE( CONTROL!$C$29, 20.4645, 20.4604) * CHOOSE( CONTROL!$C$12, $D$11, 100%, $F$11)</f>
        <v>20.464500000000001</v>
      </c>
      <c r="H718" s="4">
        <f>CHOOSE( CONTROL!$C$29, 21.3537, 21.3496) * CHOOSE(CONTROL!$C$12, $D$11, 100%, $F$11)</f>
        <v>21.3537</v>
      </c>
      <c r="I718" s="8">
        <f>CHOOSE( CONTROL!$C$29, 20.1757, 20.1716) * CHOOSE(CONTROL!$C$12, $D$11, 100%, $F$11)</f>
        <v>20.175699999999999</v>
      </c>
      <c r="J718" s="4">
        <f>CHOOSE( CONTROL!$C$29, 20.1367, 20.1327) * CHOOSE(CONTROL!$C$12, $D$11, 100%, $F$11)</f>
        <v>20.136700000000001</v>
      </c>
      <c r="K718" s="4"/>
      <c r="L718" s="9">
        <v>28.568200000000001</v>
      </c>
      <c r="M718" s="9">
        <v>11.6745</v>
      </c>
      <c r="N718" s="9">
        <v>4.7850000000000001</v>
      </c>
      <c r="O718" s="9">
        <v>0.36249999999999999</v>
      </c>
      <c r="P718" s="9">
        <v>1.1798</v>
      </c>
      <c r="Q718" s="9">
        <v>19.053000000000001</v>
      </c>
      <c r="R718" s="9"/>
      <c r="S718" s="11"/>
    </row>
    <row r="719" spans="1:19" ht="15.75">
      <c r="A719" s="13">
        <v>63766</v>
      </c>
      <c r="B719" s="8">
        <f>CHOOSE( CONTROL!$C$29, 21.9242, 21.92) * CHOOSE(CONTROL!$C$12, $D$11, 100%, $F$11)</f>
        <v>21.924199999999999</v>
      </c>
      <c r="C719" s="8">
        <f>CHOOSE( CONTROL!$C$29, 21.9347, 21.9304) * CHOOSE(CONTROL!$C$12, $D$11, 100%, $F$11)</f>
        <v>21.934699999999999</v>
      </c>
      <c r="D719" s="8">
        <f>CHOOSE( CONTROL!$C$29, 21.9408, 21.9365) * CHOOSE( CONTROL!$C$12, $D$11, 100%, $F$11)</f>
        <v>21.940799999999999</v>
      </c>
      <c r="E719" s="12">
        <f>CHOOSE( CONTROL!$C$29, 21.937, 21.9327) * CHOOSE( CONTROL!$C$12, $D$11, 100%, $F$11)</f>
        <v>21.937000000000001</v>
      </c>
      <c r="F719" s="4">
        <f>CHOOSE( CONTROL!$C$29, 22.9341, 22.9298) * CHOOSE(CONTROL!$C$12, $D$11, 100%, $F$11)</f>
        <v>22.934100000000001</v>
      </c>
      <c r="G719" s="8">
        <f>CHOOSE( CONTROL!$C$29, 21.3718, 21.3677) * CHOOSE( CONTROL!$C$12, $D$11, 100%, $F$11)</f>
        <v>21.3718</v>
      </c>
      <c r="H719" s="4">
        <f>CHOOSE( CONTROL!$C$29, 22.2792, 22.2751) * CHOOSE(CONTROL!$C$12, $D$11, 100%, $F$11)</f>
        <v>22.279199999999999</v>
      </c>
      <c r="I719" s="8">
        <f>CHOOSE( CONTROL!$C$29, 21.0977, 21.0936) * CHOOSE(CONTROL!$C$12, $D$11, 100%, $F$11)</f>
        <v>21.0977</v>
      </c>
      <c r="J719" s="4">
        <f>CHOOSE( CONTROL!$C$29, 21.003, 20.999) * CHOOSE(CONTROL!$C$12, $D$11, 100%, $F$11)</f>
        <v>21.003</v>
      </c>
      <c r="K719" s="4"/>
      <c r="L719" s="9">
        <v>29.520499999999998</v>
      </c>
      <c r="M719" s="9">
        <v>12.063700000000001</v>
      </c>
      <c r="N719" s="9">
        <v>4.9444999999999997</v>
      </c>
      <c r="O719" s="9">
        <v>0.37459999999999999</v>
      </c>
      <c r="P719" s="9">
        <v>1.2192000000000001</v>
      </c>
      <c r="Q719" s="9">
        <v>19.688099999999999</v>
      </c>
      <c r="R719" s="9"/>
      <c r="S719" s="11"/>
    </row>
    <row r="720" spans="1:19" ht="15.75">
      <c r="A720" s="13">
        <v>63797</v>
      </c>
      <c r="B720" s="8">
        <f>CHOOSE( CONTROL!$C$29, 20.2325, 20.2283) * CHOOSE(CONTROL!$C$12, $D$11, 100%, $F$11)</f>
        <v>20.232500000000002</v>
      </c>
      <c r="C720" s="8">
        <f>CHOOSE( CONTROL!$C$29, 20.243, 20.2387) * CHOOSE(CONTROL!$C$12, $D$11, 100%, $F$11)</f>
        <v>20.242999999999999</v>
      </c>
      <c r="D720" s="8">
        <f>CHOOSE( CONTROL!$C$29, 20.2656, 20.2613) * CHOOSE( CONTROL!$C$12, $D$11, 100%, $F$11)</f>
        <v>20.265599999999999</v>
      </c>
      <c r="E720" s="12">
        <f>CHOOSE( CONTROL!$C$29, 20.2558, 20.2515) * CHOOSE( CONTROL!$C$12, $D$11, 100%, $F$11)</f>
        <v>20.255800000000001</v>
      </c>
      <c r="F720" s="4">
        <f>CHOOSE( CONTROL!$C$29, 21.2711, 21.2669) * CHOOSE(CONTROL!$C$12, $D$11, 100%, $F$11)</f>
        <v>21.271100000000001</v>
      </c>
      <c r="G720" s="8">
        <f>CHOOSE( CONTROL!$C$29, 19.7285, 19.7243) * CHOOSE( CONTROL!$C$12, $D$11, 100%, $F$11)</f>
        <v>19.7285</v>
      </c>
      <c r="H720" s="4">
        <f>CHOOSE( CONTROL!$C$29, 20.6582, 20.6541) * CHOOSE(CONTROL!$C$12, $D$11, 100%, $F$11)</f>
        <v>20.658200000000001</v>
      </c>
      <c r="I720" s="8">
        <f>CHOOSE( CONTROL!$C$29, 19.4674, 19.4633) * CHOOSE(CONTROL!$C$12, $D$11, 100%, $F$11)</f>
        <v>19.467400000000001</v>
      </c>
      <c r="J720" s="4">
        <f>CHOOSE( CONTROL!$C$29, 19.3821, 19.378) * CHOOSE(CONTROL!$C$12, $D$11, 100%, $F$11)</f>
        <v>19.382100000000001</v>
      </c>
      <c r="K720" s="4"/>
      <c r="L720" s="9">
        <v>29.520499999999998</v>
      </c>
      <c r="M720" s="9">
        <v>12.063700000000001</v>
      </c>
      <c r="N720" s="9">
        <v>4.9444999999999997</v>
      </c>
      <c r="O720" s="9">
        <v>0.37459999999999999</v>
      </c>
      <c r="P720" s="9">
        <v>1.2192000000000001</v>
      </c>
      <c r="Q720" s="9">
        <v>19.688099999999999</v>
      </c>
      <c r="R720" s="9"/>
      <c r="S720" s="11"/>
    </row>
    <row r="721" spans="1:19" ht="15.75">
      <c r="A721" s="13">
        <v>63827</v>
      </c>
      <c r="B721" s="8">
        <f>CHOOSE( CONTROL!$C$29, 19.8089, 19.8047) * CHOOSE(CONTROL!$C$12, $D$11, 100%, $F$11)</f>
        <v>19.808900000000001</v>
      </c>
      <c r="C721" s="8">
        <f>CHOOSE( CONTROL!$C$29, 19.8194, 19.8151) * CHOOSE(CONTROL!$C$12, $D$11, 100%, $F$11)</f>
        <v>19.819400000000002</v>
      </c>
      <c r="D721" s="8">
        <f>CHOOSE( CONTROL!$C$29, 19.8419, 19.8377) * CHOOSE( CONTROL!$C$12, $D$11, 100%, $F$11)</f>
        <v>19.841899999999999</v>
      </c>
      <c r="E721" s="12">
        <f>CHOOSE( CONTROL!$C$29, 19.8321, 19.8279) * CHOOSE( CONTROL!$C$12, $D$11, 100%, $F$11)</f>
        <v>19.832100000000001</v>
      </c>
      <c r="F721" s="4">
        <f>CHOOSE( CONTROL!$C$29, 20.8475, 20.8432) * CHOOSE(CONTROL!$C$12, $D$11, 100%, $F$11)</f>
        <v>20.8475</v>
      </c>
      <c r="G721" s="8">
        <f>CHOOSE( CONTROL!$C$29, 19.3152, 19.3111) * CHOOSE( CONTROL!$C$12, $D$11, 100%, $F$11)</f>
        <v>19.315200000000001</v>
      </c>
      <c r="H721" s="4">
        <f>CHOOSE( CONTROL!$C$29, 20.2453, 20.2411) * CHOOSE(CONTROL!$C$12, $D$11, 100%, $F$11)</f>
        <v>20.2453</v>
      </c>
      <c r="I721" s="8">
        <f>CHOOSE( CONTROL!$C$29, 19.0596, 19.0555) * CHOOSE(CONTROL!$C$12, $D$11, 100%, $F$11)</f>
        <v>19.0596</v>
      </c>
      <c r="J721" s="4">
        <f>CHOOSE( CONTROL!$C$29, 18.9762, 18.9721) * CHOOSE(CONTROL!$C$12, $D$11, 100%, $F$11)</f>
        <v>18.976199999999999</v>
      </c>
      <c r="K721" s="4"/>
      <c r="L721" s="9">
        <v>28.568200000000001</v>
      </c>
      <c r="M721" s="9">
        <v>11.6745</v>
      </c>
      <c r="N721" s="9">
        <v>4.7850000000000001</v>
      </c>
      <c r="O721" s="9">
        <v>0.36249999999999999</v>
      </c>
      <c r="P721" s="9">
        <v>1.1798</v>
      </c>
      <c r="Q721" s="9">
        <v>19.053000000000001</v>
      </c>
      <c r="R721" s="9"/>
      <c r="S721" s="11"/>
    </row>
    <row r="722" spans="1:19" ht="15.75">
      <c r="A722" s="13">
        <v>63858</v>
      </c>
      <c r="B722" s="8">
        <f>20.6843 * CHOOSE(CONTROL!$C$12, $D$11, 100%, $F$11)</f>
        <v>20.6843</v>
      </c>
      <c r="C722" s="8">
        <f>20.6947 * CHOOSE(CONTROL!$C$12, $D$11, 100%, $F$11)</f>
        <v>20.694700000000001</v>
      </c>
      <c r="D722" s="8">
        <f>20.6991 * CHOOSE( CONTROL!$C$12, $D$11, 100%, $F$11)</f>
        <v>20.699100000000001</v>
      </c>
      <c r="E722" s="12">
        <f>20.6965 * CHOOSE( CONTROL!$C$12, $D$11, 100%, $F$11)</f>
        <v>20.6965</v>
      </c>
      <c r="F722" s="4">
        <f>21.6915 * CHOOSE(CONTROL!$C$12, $D$11, 100%, $F$11)</f>
        <v>21.691500000000001</v>
      </c>
      <c r="G722" s="8">
        <f>20.1587 * CHOOSE( CONTROL!$C$12, $D$11, 100%, $F$11)</f>
        <v>20.1587</v>
      </c>
      <c r="H722" s="4">
        <f>21.068 * CHOOSE(CONTROL!$C$12, $D$11, 100%, $F$11)</f>
        <v>21.068000000000001</v>
      </c>
      <c r="I722" s="8">
        <f>19.8954 * CHOOSE(CONTROL!$C$12, $D$11, 100%, $F$11)</f>
        <v>19.895399999999999</v>
      </c>
      <c r="J722" s="4">
        <f>19.8149 * CHOOSE(CONTROL!$C$12, $D$11, 100%, $F$11)</f>
        <v>19.814900000000002</v>
      </c>
      <c r="K722" s="4"/>
      <c r="L722" s="9">
        <v>28.921800000000001</v>
      </c>
      <c r="M722" s="9">
        <v>12.063700000000001</v>
      </c>
      <c r="N722" s="9">
        <v>4.9444999999999997</v>
      </c>
      <c r="O722" s="9">
        <v>0.37459999999999999</v>
      </c>
      <c r="P722" s="9">
        <v>1.2192000000000001</v>
      </c>
      <c r="Q722" s="9">
        <v>19.688099999999999</v>
      </c>
      <c r="R722" s="9"/>
      <c r="S722" s="11"/>
    </row>
    <row r="723" spans="1:19" ht="15.75">
      <c r="A723" s="13">
        <v>63888</v>
      </c>
      <c r="B723" s="8">
        <f>22.3078 * CHOOSE(CONTROL!$C$12, $D$11, 100%, $F$11)</f>
        <v>22.3078</v>
      </c>
      <c r="C723" s="8">
        <f>22.3182 * CHOOSE(CONTROL!$C$12, $D$11, 100%, $F$11)</f>
        <v>22.318200000000001</v>
      </c>
      <c r="D723" s="8">
        <f>22.3006 * CHOOSE( CONTROL!$C$12, $D$11, 100%, $F$11)</f>
        <v>22.300599999999999</v>
      </c>
      <c r="E723" s="12">
        <f>22.3059 * CHOOSE( CONTROL!$C$12, $D$11, 100%, $F$11)</f>
        <v>22.305900000000001</v>
      </c>
      <c r="F723" s="4">
        <f>23.302 * CHOOSE(CONTROL!$C$12, $D$11, 100%, $F$11)</f>
        <v>23.302</v>
      </c>
      <c r="G723" s="8">
        <f>21.7538 * CHOOSE( CONTROL!$C$12, $D$11, 100%, $F$11)</f>
        <v>21.753799999999998</v>
      </c>
      <c r="H723" s="4">
        <f>22.6379 * CHOOSE(CONTROL!$C$12, $D$11, 100%, $F$11)</f>
        <v>22.637899999999998</v>
      </c>
      <c r="I723" s="8">
        <f>21.4752 * CHOOSE(CONTROL!$C$12, $D$11, 100%, $F$11)</f>
        <v>21.475200000000001</v>
      </c>
      <c r="J723" s="4">
        <f>21.3705 * CHOOSE(CONTROL!$C$12, $D$11, 100%, $F$11)</f>
        <v>21.3705</v>
      </c>
      <c r="K723" s="4"/>
      <c r="L723" s="9">
        <v>26.515499999999999</v>
      </c>
      <c r="M723" s="9">
        <v>11.6745</v>
      </c>
      <c r="N723" s="9">
        <v>4.7850000000000001</v>
      </c>
      <c r="O723" s="9">
        <v>0.36249999999999999</v>
      </c>
      <c r="P723" s="9">
        <v>1.2522</v>
      </c>
      <c r="Q723" s="9">
        <v>19.053000000000001</v>
      </c>
      <c r="R723" s="9"/>
      <c r="S723" s="11"/>
    </row>
    <row r="724" spans="1:19" ht="15.75">
      <c r="A724" s="13">
        <v>63919</v>
      </c>
      <c r="B724" s="8">
        <f>22.2672 * CHOOSE(CONTROL!$C$12, $D$11, 100%, $F$11)</f>
        <v>22.267199999999999</v>
      </c>
      <c r="C724" s="8">
        <f>22.2776 * CHOOSE(CONTROL!$C$12, $D$11, 100%, $F$11)</f>
        <v>22.2776</v>
      </c>
      <c r="D724" s="8">
        <f>22.262 * CHOOSE( CONTROL!$C$12, $D$11, 100%, $F$11)</f>
        <v>22.262</v>
      </c>
      <c r="E724" s="12">
        <f>22.2666 * CHOOSE( CONTROL!$C$12, $D$11, 100%, $F$11)</f>
        <v>22.2666</v>
      </c>
      <c r="F724" s="4">
        <f>23.2614 * CHOOSE(CONTROL!$C$12, $D$11, 100%, $F$11)</f>
        <v>23.261399999999998</v>
      </c>
      <c r="G724" s="8">
        <f>21.7158 * CHOOSE( CONTROL!$C$12, $D$11, 100%, $F$11)</f>
        <v>21.715800000000002</v>
      </c>
      <c r="H724" s="4">
        <f>22.5983 * CHOOSE(CONTROL!$C$12, $D$11, 100%, $F$11)</f>
        <v>22.598299999999998</v>
      </c>
      <c r="I724" s="8">
        <f>21.4436 * CHOOSE(CONTROL!$C$12, $D$11, 100%, $F$11)</f>
        <v>21.4436</v>
      </c>
      <c r="J724" s="4">
        <f>21.3317 * CHOOSE(CONTROL!$C$12, $D$11, 100%, $F$11)</f>
        <v>21.331700000000001</v>
      </c>
      <c r="K724" s="4"/>
      <c r="L724" s="9">
        <v>27.3993</v>
      </c>
      <c r="M724" s="9">
        <v>12.063700000000001</v>
      </c>
      <c r="N724" s="9">
        <v>4.9444999999999997</v>
      </c>
      <c r="O724" s="9">
        <v>0.37459999999999999</v>
      </c>
      <c r="P724" s="9">
        <v>1.2939000000000001</v>
      </c>
      <c r="Q724" s="9">
        <v>19.688099999999999</v>
      </c>
      <c r="R724" s="9"/>
      <c r="S724" s="11"/>
    </row>
    <row r="725" spans="1:19" ht="15.75">
      <c r="A725" s="13">
        <v>63950</v>
      </c>
      <c r="B725" s="8">
        <f>23.1181 * CHOOSE(CONTROL!$C$12, $D$11, 100%, $F$11)</f>
        <v>23.118099999999998</v>
      </c>
      <c r="C725" s="8">
        <f>23.1285 * CHOOSE(CONTROL!$C$12, $D$11, 100%, $F$11)</f>
        <v>23.128499999999999</v>
      </c>
      <c r="D725" s="8">
        <f>23.1261 * CHOOSE( CONTROL!$C$12, $D$11, 100%, $F$11)</f>
        <v>23.126100000000001</v>
      </c>
      <c r="E725" s="12">
        <f>23.1259 * CHOOSE( CONTROL!$C$12, $D$11, 100%, $F$11)</f>
        <v>23.125900000000001</v>
      </c>
      <c r="F725" s="4">
        <f>24.141 * CHOOSE(CONTROL!$C$12, $D$11, 100%, $F$11)</f>
        <v>24.140999999999998</v>
      </c>
      <c r="G725" s="8">
        <f>22.5623 * CHOOSE( CONTROL!$C$12, $D$11, 100%, $F$11)</f>
        <v>22.5623</v>
      </c>
      <c r="H725" s="4">
        <f>23.4557 * CHOOSE(CONTROL!$C$12, $D$11, 100%, $F$11)</f>
        <v>23.4557</v>
      </c>
      <c r="I725" s="8">
        <f>22.2666 * CHOOSE(CONTROL!$C$12, $D$11, 100%, $F$11)</f>
        <v>22.2666</v>
      </c>
      <c r="J725" s="4">
        <f>22.147 * CHOOSE(CONTROL!$C$12, $D$11, 100%, $F$11)</f>
        <v>22.146999999999998</v>
      </c>
      <c r="K725" s="4"/>
      <c r="L725" s="9">
        <v>27.3993</v>
      </c>
      <c r="M725" s="9">
        <v>12.063700000000001</v>
      </c>
      <c r="N725" s="9">
        <v>4.9444999999999997</v>
      </c>
      <c r="O725" s="9">
        <v>0.37459999999999999</v>
      </c>
      <c r="P725" s="9">
        <v>1.2939000000000001</v>
      </c>
      <c r="Q725" s="9">
        <v>19.688099999999999</v>
      </c>
      <c r="R725" s="9"/>
      <c r="S725" s="11"/>
    </row>
    <row r="726" spans="1:19" ht="15.75">
      <c r="A726" s="13">
        <v>63978</v>
      </c>
      <c r="B726" s="8">
        <f>21.6238 * CHOOSE(CONTROL!$C$12, $D$11, 100%, $F$11)</f>
        <v>21.623799999999999</v>
      </c>
      <c r="C726" s="8">
        <f>21.6343 * CHOOSE(CONTROL!$C$12, $D$11, 100%, $F$11)</f>
        <v>21.6343</v>
      </c>
      <c r="D726" s="8">
        <f>21.6342 * CHOOSE( CONTROL!$C$12, $D$11, 100%, $F$11)</f>
        <v>21.6342</v>
      </c>
      <c r="E726" s="12">
        <f>21.6331 * CHOOSE( CONTROL!$C$12, $D$11, 100%, $F$11)</f>
        <v>21.633099999999999</v>
      </c>
      <c r="F726" s="4">
        <f>22.6389 * CHOOSE(CONTROL!$C$12, $D$11, 100%, $F$11)</f>
        <v>22.6389</v>
      </c>
      <c r="G726" s="8">
        <f>21.1056 * CHOOSE( CONTROL!$C$12, $D$11, 100%, $F$11)</f>
        <v>21.105599999999999</v>
      </c>
      <c r="H726" s="4">
        <f>21.9915 * CHOOSE(CONTROL!$C$12, $D$11, 100%, $F$11)</f>
        <v>21.991499999999998</v>
      </c>
      <c r="I726" s="8">
        <f>20.8232 * CHOOSE(CONTROL!$C$12, $D$11, 100%, $F$11)</f>
        <v>20.8232</v>
      </c>
      <c r="J726" s="4">
        <f>20.7152 * CHOOSE(CONTROL!$C$12, $D$11, 100%, $F$11)</f>
        <v>20.715199999999999</v>
      </c>
      <c r="K726" s="4"/>
      <c r="L726" s="9">
        <v>24.747800000000002</v>
      </c>
      <c r="M726" s="9">
        <v>10.8962</v>
      </c>
      <c r="N726" s="9">
        <v>4.4660000000000002</v>
      </c>
      <c r="O726" s="9">
        <v>0.33829999999999999</v>
      </c>
      <c r="P726" s="9">
        <v>1.1687000000000001</v>
      </c>
      <c r="Q726" s="9">
        <v>17.782800000000002</v>
      </c>
      <c r="R726" s="9"/>
      <c r="S726" s="11"/>
    </row>
    <row r="727" spans="1:19" ht="15.75">
      <c r="A727" s="13">
        <v>64009</v>
      </c>
      <c r="B727" s="8">
        <f>21.1636 * CHOOSE(CONTROL!$C$12, $D$11, 100%, $F$11)</f>
        <v>21.163599999999999</v>
      </c>
      <c r="C727" s="8">
        <f>21.1741 * CHOOSE(CONTROL!$C$12, $D$11, 100%, $F$11)</f>
        <v>21.174099999999999</v>
      </c>
      <c r="D727" s="8">
        <f>21.1539 * CHOOSE( CONTROL!$C$12, $D$11, 100%, $F$11)</f>
        <v>21.1539</v>
      </c>
      <c r="E727" s="12">
        <f>21.1602 * CHOOSE( CONTROL!$C$12, $D$11, 100%, $F$11)</f>
        <v>21.1602</v>
      </c>
      <c r="F727" s="4">
        <f>22.1625 * CHOOSE(CONTROL!$C$12, $D$11, 100%, $F$11)</f>
        <v>22.162500000000001</v>
      </c>
      <c r="G727" s="8">
        <f>20.6365 * CHOOSE( CONTROL!$C$12, $D$11, 100%, $F$11)</f>
        <v>20.636500000000002</v>
      </c>
      <c r="H727" s="4">
        <f>21.5271 * CHOOSE(CONTROL!$C$12, $D$11, 100%, $F$11)</f>
        <v>21.527100000000001</v>
      </c>
      <c r="I727" s="8">
        <f>20.3425 * CHOOSE(CONTROL!$C$12, $D$11, 100%, $F$11)</f>
        <v>20.342500000000001</v>
      </c>
      <c r="J727" s="4">
        <f>20.2742 * CHOOSE(CONTROL!$C$12, $D$11, 100%, $F$11)</f>
        <v>20.2742</v>
      </c>
      <c r="K727" s="4"/>
      <c r="L727" s="9">
        <v>27.3993</v>
      </c>
      <c r="M727" s="9">
        <v>12.063700000000001</v>
      </c>
      <c r="N727" s="9">
        <v>4.9444999999999997</v>
      </c>
      <c r="O727" s="9">
        <v>0.37459999999999999</v>
      </c>
      <c r="P727" s="9">
        <v>1.2939000000000001</v>
      </c>
      <c r="Q727" s="9">
        <v>19.688099999999999</v>
      </c>
      <c r="R727" s="9"/>
      <c r="S727" s="11"/>
    </row>
    <row r="728" spans="1:19" ht="15.75">
      <c r="A728" s="13">
        <v>64039</v>
      </c>
      <c r="B728" s="8">
        <f>21.4852 * CHOOSE(CONTROL!$C$12, $D$11, 100%, $F$11)</f>
        <v>21.485199999999999</v>
      </c>
      <c r="C728" s="8">
        <f>21.4956 * CHOOSE(CONTROL!$C$12, $D$11, 100%, $F$11)</f>
        <v>21.4956</v>
      </c>
      <c r="D728" s="8">
        <f>21.4988 * CHOOSE( CONTROL!$C$12, $D$11, 100%, $F$11)</f>
        <v>21.498799999999999</v>
      </c>
      <c r="E728" s="12">
        <f>21.4966 * CHOOSE( CONTROL!$C$12, $D$11, 100%, $F$11)</f>
        <v>21.496600000000001</v>
      </c>
      <c r="F728" s="4">
        <f>22.4925 * CHOOSE(CONTROL!$C$12, $D$11, 100%, $F$11)</f>
        <v>22.4925</v>
      </c>
      <c r="G728" s="8">
        <f>20.9379 * CHOOSE( CONTROL!$C$12, $D$11, 100%, $F$11)</f>
        <v>20.937899999999999</v>
      </c>
      <c r="H728" s="4">
        <f>21.8488 * CHOOSE(CONTROL!$C$12, $D$11, 100%, $F$11)</f>
        <v>21.848800000000001</v>
      </c>
      <c r="I728" s="8">
        <f>20.6409 * CHOOSE(CONTROL!$C$12, $D$11, 100%, $F$11)</f>
        <v>20.640899999999998</v>
      </c>
      <c r="J728" s="4">
        <f>20.5824 * CHOOSE(CONTROL!$C$12, $D$11, 100%, $F$11)</f>
        <v>20.5824</v>
      </c>
      <c r="K728" s="4"/>
      <c r="L728" s="9">
        <v>27.988800000000001</v>
      </c>
      <c r="M728" s="9">
        <v>11.6745</v>
      </c>
      <c r="N728" s="9">
        <v>4.7850000000000001</v>
      </c>
      <c r="O728" s="9">
        <v>0.36249999999999999</v>
      </c>
      <c r="P728" s="9">
        <v>1.1798</v>
      </c>
      <c r="Q728" s="9">
        <v>19.053000000000001</v>
      </c>
      <c r="R728" s="9"/>
      <c r="S728" s="11"/>
    </row>
    <row r="729" spans="1:19" ht="15.75">
      <c r="A729" s="13">
        <v>64070</v>
      </c>
      <c r="B729" s="8">
        <f>CHOOSE( CONTROL!$C$29, 22.0618, 22.0576) * CHOOSE(CONTROL!$C$12, $D$11, 100%, $F$11)</f>
        <v>22.061800000000002</v>
      </c>
      <c r="C729" s="8">
        <f>CHOOSE( CONTROL!$C$29, 22.0722, 22.068) * CHOOSE(CONTROL!$C$12, $D$11, 100%, $F$11)</f>
        <v>22.072199999999999</v>
      </c>
      <c r="D729" s="8">
        <f>CHOOSE( CONTROL!$C$29, 22.0502, 22.0459) * CHOOSE( CONTROL!$C$12, $D$11, 100%, $F$11)</f>
        <v>22.0502</v>
      </c>
      <c r="E729" s="12">
        <f>CHOOSE( CONTROL!$C$29, 22.0566, 22.0523) * CHOOSE( CONTROL!$C$12, $D$11, 100%, $F$11)</f>
        <v>22.0566</v>
      </c>
      <c r="F729" s="4">
        <f>CHOOSE( CONTROL!$C$29, 23.0367, 23.0325) * CHOOSE(CONTROL!$C$12, $D$11, 100%, $F$11)</f>
        <v>23.0367</v>
      </c>
      <c r="G729" s="8">
        <f>CHOOSE( CONTROL!$C$29, 21.4812, 21.477) * CHOOSE( CONTROL!$C$12, $D$11, 100%, $F$11)</f>
        <v>21.481200000000001</v>
      </c>
      <c r="H729" s="4">
        <f>CHOOSE( CONTROL!$C$29, 22.3793, 22.3751) * CHOOSE(CONTROL!$C$12, $D$11, 100%, $F$11)</f>
        <v>22.379300000000001</v>
      </c>
      <c r="I729" s="8">
        <f>CHOOSE( CONTROL!$C$29, 21.1721, 21.1681) * CHOOSE(CONTROL!$C$12, $D$11, 100%, $F$11)</f>
        <v>21.1721</v>
      </c>
      <c r="J729" s="4">
        <f>CHOOSE( CONTROL!$C$29, 21.1349, 21.1308) * CHOOSE(CONTROL!$C$12, $D$11, 100%, $F$11)</f>
        <v>21.134899999999998</v>
      </c>
      <c r="K729" s="4"/>
      <c r="L729" s="9">
        <v>29.520499999999998</v>
      </c>
      <c r="M729" s="9">
        <v>12.063700000000001</v>
      </c>
      <c r="N729" s="9">
        <v>4.9444999999999997</v>
      </c>
      <c r="O729" s="9">
        <v>0.37459999999999999</v>
      </c>
      <c r="P729" s="9">
        <v>1.2192000000000001</v>
      </c>
      <c r="Q729" s="9">
        <v>19.688099999999999</v>
      </c>
      <c r="R729" s="9"/>
      <c r="S729" s="11"/>
    </row>
    <row r="730" spans="1:19" ht="15.75">
      <c r="A730" s="13">
        <v>64100</v>
      </c>
      <c r="B730" s="8">
        <f>CHOOSE( CONTROL!$C$29, 21.7072, 21.703) * CHOOSE(CONTROL!$C$12, $D$11, 100%, $F$11)</f>
        <v>21.7072</v>
      </c>
      <c r="C730" s="8">
        <f>CHOOSE( CONTROL!$C$29, 21.7177, 21.7134) * CHOOSE(CONTROL!$C$12, $D$11, 100%, $F$11)</f>
        <v>21.717700000000001</v>
      </c>
      <c r="D730" s="8">
        <f>CHOOSE( CONTROL!$C$29, 21.69, 21.6858) * CHOOSE( CONTROL!$C$12, $D$11, 100%, $F$11)</f>
        <v>21.69</v>
      </c>
      <c r="E730" s="12">
        <f>CHOOSE( CONTROL!$C$29, 21.6984, 21.6942) * CHOOSE( CONTROL!$C$12, $D$11, 100%, $F$11)</f>
        <v>21.698399999999999</v>
      </c>
      <c r="F730" s="4">
        <f>CHOOSE( CONTROL!$C$29, 22.6717, 22.6675) * CHOOSE(CONTROL!$C$12, $D$11, 100%, $F$11)</f>
        <v>22.671700000000001</v>
      </c>
      <c r="G730" s="8">
        <f>CHOOSE( CONTROL!$C$29, 21.1343, 21.1302) * CHOOSE( CONTROL!$C$12, $D$11, 100%, $F$11)</f>
        <v>21.1343</v>
      </c>
      <c r="H730" s="4">
        <f>CHOOSE( CONTROL!$C$29, 22.0235, 22.0194) * CHOOSE(CONTROL!$C$12, $D$11, 100%, $F$11)</f>
        <v>22.023499999999999</v>
      </c>
      <c r="I730" s="8">
        <f>CHOOSE( CONTROL!$C$29, 20.8344, 20.8303) * CHOOSE(CONTROL!$C$12, $D$11, 100%, $F$11)</f>
        <v>20.834399999999999</v>
      </c>
      <c r="J730" s="4">
        <f>CHOOSE( CONTROL!$C$29, 20.7951, 20.7911) * CHOOSE(CONTROL!$C$12, $D$11, 100%, $F$11)</f>
        <v>20.795100000000001</v>
      </c>
      <c r="K730" s="4"/>
      <c r="L730" s="9">
        <v>28.568200000000001</v>
      </c>
      <c r="M730" s="9">
        <v>11.6745</v>
      </c>
      <c r="N730" s="9">
        <v>4.7850000000000001</v>
      </c>
      <c r="O730" s="9">
        <v>0.36249999999999999</v>
      </c>
      <c r="P730" s="9">
        <v>1.1798</v>
      </c>
      <c r="Q730" s="9">
        <v>19.053000000000001</v>
      </c>
      <c r="R730" s="9"/>
      <c r="S730" s="11"/>
    </row>
    <row r="731" spans="1:19" ht="15.75">
      <c r="A731" s="13">
        <v>64131</v>
      </c>
      <c r="B731" s="8">
        <f>CHOOSE( CONTROL!$C$29, 22.6409, 22.6367) * CHOOSE(CONTROL!$C$12, $D$11, 100%, $F$11)</f>
        <v>22.640899999999998</v>
      </c>
      <c r="C731" s="8">
        <f>CHOOSE( CONTROL!$C$29, 22.6514, 22.6471) * CHOOSE(CONTROL!$C$12, $D$11, 100%, $F$11)</f>
        <v>22.651399999999999</v>
      </c>
      <c r="D731" s="8">
        <f>CHOOSE( CONTROL!$C$29, 22.6575, 22.6532) * CHOOSE( CONTROL!$C$12, $D$11, 100%, $F$11)</f>
        <v>22.657499999999999</v>
      </c>
      <c r="E731" s="12">
        <f>CHOOSE( CONTROL!$C$29, 22.6537, 22.6494) * CHOOSE( CONTROL!$C$12, $D$11, 100%, $F$11)</f>
        <v>22.653700000000001</v>
      </c>
      <c r="F731" s="4">
        <f>CHOOSE( CONTROL!$C$29, 23.6508, 23.6465) * CHOOSE(CONTROL!$C$12, $D$11, 100%, $F$11)</f>
        <v>23.6508</v>
      </c>
      <c r="G731" s="8">
        <f>CHOOSE( CONTROL!$C$29, 22.0705, 22.0663) * CHOOSE( CONTROL!$C$12, $D$11, 100%, $F$11)</f>
        <v>22.070499999999999</v>
      </c>
      <c r="H731" s="4">
        <f>CHOOSE( CONTROL!$C$29, 22.9779, 22.9737) * CHOOSE(CONTROL!$C$12, $D$11, 100%, $F$11)</f>
        <v>22.977900000000002</v>
      </c>
      <c r="I731" s="8">
        <f>CHOOSE( CONTROL!$C$29, 21.7848, 21.7807) * CHOOSE(CONTROL!$C$12, $D$11, 100%, $F$11)</f>
        <v>21.784800000000001</v>
      </c>
      <c r="J731" s="4">
        <f>CHOOSE( CONTROL!$C$29, 21.6898, 21.6857) * CHOOSE(CONTROL!$C$12, $D$11, 100%, $F$11)</f>
        <v>21.689800000000002</v>
      </c>
      <c r="K731" s="4"/>
      <c r="L731" s="9">
        <v>29.520499999999998</v>
      </c>
      <c r="M731" s="9">
        <v>12.063700000000001</v>
      </c>
      <c r="N731" s="9">
        <v>4.9444999999999997</v>
      </c>
      <c r="O731" s="9">
        <v>0.37459999999999999</v>
      </c>
      <c r="P731" s="9">
        <v>1.2192000000000001</v>
      </c>
      <c r="Q731" s="9">
        <v>19.688099999999999</v>
      </c>
      <c r="R731" s="9"/>
      <c r="S731" s="11"/>
    </row>
    <row r="732" spans="1:19" ht="15.75">
      <c r="A732" s="13">
        <v>64162</v>
      </c>
      <c r="B732" s="8">
        <f>CHOOSE( CONTROL!$C$29, 20.8939, 20.8897) * CHOOSE(CONTROL!$C$12, $D$11, 100%, $F$11)</f>
        <v>20.893899999999999</v>
      </c>
      <c r="C732" s="8">
        <f>CHOOSE( CONTROL!$C$29, 20.9044, 20.9001) * CHOOSE(CONTROL!$C$12, $D$11, 100%, $F$11)</f>
        <v>20.904399999999999</v>
      </c>
      <c r="D732" s="8">
        <f>CHOOSE( CONTROL!$C$29, 20.927, 20.9227) * CHOOSE( CONTROL!$C$12, $D$11, 100%, $F$11)</f>
        <v>20.927</v>
      </c>
      <c r="E732" s="12">
        <f>CHOOSE( CONTROL!$C$29, 20.9172, 20.9129) * CHOOSE( CONTROL!$C$12, $D$11, 100%, $F$11)</f>
        <v>20.917200000000001</v>
      </c>
      <c r="F732" s="4">
        <f>CHOOSE( CONTROL!$C$29, 21.9325, 21.9282) * CHOOSE(CONTROL!$C$12, $D$11, 100%, $F$11)</f>
        <v>21.932500000000001</v>
      </c>
      <c r="G732" s="8">
        <f>CHOOSE( CONTROL!$C$29, 20.3731, 20.369) * CHOOSE( CONTROL!$C$12, $D$11, 100%, $F$11)</f>
        <v>20.373100000000001</v>
      </c>
      <c r="H732" s="4">
        <f>CHOOSE( CONTROL!$C$29, 21.3029, 21.2988) * CHOOSE(CONTROL!$C$12, $D$11, 100%, $F$11)</f>
        <v>21.302900000000001</v>
      </c>
      <c r="I732" s="8">
        <f>CHOOSE( CONTROL!$C$29, 20.1014, 20.0974) * CHOOSE(CONTROL!$C$12, $D$11, 100%, $F$11)</f>
        <v>20.101400000000002</v>
      </c>
      <c r="J732" s="4">
        <f>CHOOSE( CONTROL!$C$29, 20.0158, 20.0117) * CHOOSE(CONTROL!$C$12, $D$11, 100%, $F$11)</f>
        <v>20.015799999999999</v>
      </c>
      <c r="K732" s="4"/>
      <c r="L732" s="9">
        <v>29.520499999999998</v>
      </c>
      <c r="M732" s="9">
        <v>12.063700000000001</v>
      </c>
      <c r="N732" s="9">
        <v>4.9444999999999997</v>
      </c>
      <c r="O732" s="9">
        <v>0.37459999999999999</v>
      </c>
      <c r="P732" s="9">
        <v>1.2192000000000001</v>
      </c>
      <c r="Q732" s="9">
        <v>19.688099999999999</v>
      </c>
      <c r="R732" s="9"/>
      <c r="S732" s="11"/>
    </row>
    <row r="733" spans="1:19" ht="15.75">
      <c r="A733" s="13">
        <v>64192</v>
      </c>
      <c r="B733" s="8">
        <f>CHOOSE( CONTROL!$C$29, 20.4564, 20.4522) * CHOOSE(CONTROL!$C$12, $D$11, 100%, $F$11)</f>
        <v>20.456399999999999</v>
      </c>
      <c r="C733" s="8">
        <f>CHOOSE( CONTROL!$C$29, 20.4669, 20.4626) * CHOOSE(CONTROL!$C$12, $D$11, 100%, $F$11)</f>
        <v>20.466899999999999</v>
      </c>
      <c r="D733" s="8">
        <f>CHOOSE( CONTROL!$C$29, 20.4894, 20.4852) * CHOOSE( CONTROL!$C$12, $D$11, 100%, $F$11)</f>
        <v>20.4894</v>
      </c>
      <c r="E733" s="12">
        <f>CHOOSE( CONTROL!$C$29, 20.4796, 20.4754) * CHOOSE( CONTROL!$C$12, $D$11, 100%, $F$11)</f>
        <v>20.479600000000001</v>
      </c>
      <c r="F733" s="4">
        <f>CHOOSE( CONTROL!$C$29, 21.495, 21.4908) * CHOOSE(CONTROL!$C$12, $D$11, 100%, $F$11)</f>
        <v>21.495000000000001</v>
      </c>
      <c r="G733" s="8">
        <f>CHOOSE( CONTROL!$C$29, 19.9464, 19.9423) * CHOOSE( CONTROL!$C$12, $D$11, 100%, $F$11)</f>
        <v>19.946400000000001</v>
      </c>
      <c r="H733" s="4">
        <f>CHOOSE( CONTROL!$C$29, 20.8765, 20.8723) * CHOOSE(CONTROL!$C$12, $D$11, 100%, $F$11)</f>
        <v>20.8765</v>
      </c>
      <c r="I733" s="8">
        <f>CHOOSE( CONTROL!$C$29, 19.6803, 19.6763) * CHOOSE(CONTROL!$C$12, $D$11, 100%, $F$11)</f>
        <v>19.680299999999999</v>
      </c>
      <c r="J733" s="4">
        <f>CHOOSE( CONTROL!$C$29, 19.5966, 19.5925) * CHOOSE(CONTROL!$C$12, $D$11, 100%, $F$11)</f>
        <v>19.596599999999999</v>
      </c>
      <c r="K733" s="4"/>
      <c r="L733" s="9">
        <v>28.568200000000001</v>
      </c>
      <c r="M733" s="9">
        <v>11.6745</v>
      </c>
      <c r="N733" s="9">
        <v>4.7850000000000001</v>
      </c>
      <c r="O733" s="9">
        <v>0.36249999999999999</v>
      </c>
      <c r="P733" s="9">
        <v>1.1798</v>
      </c>
      <c r="Q733" s="9">
        <v>19.053000000000001</v>
      </c>
      <c r="R733" s="9"/>
      <c r="S733" s="11"/>
    </row>
    <row r="734" spans="1:19" ht="15.75">
      <c r="A734" s="13">
        <v>64223</v>
      </c>
      <c r="B734" s="8">
        <f>21.3605 * CHOOSE(CONTROL!$C$12, $D$11, 100%, $F$11)</f>
        <v>21.360499999999998</v>
      </c>
      <c r="C734" s="8">
        <f>21.371 * CHOOSE(CONTROL!$C$12, $D$11, 100%, $F$11)</f>
        <v>21.370999999999999</v>
      </c>
      <c r="D734" s="8">
        <f>21.3754 * CHOOSE( CONTROL!$C$12, $D$11, 100%, $F$11)</f>
        <v>21.375399999999999</v>
      </c>
      <c r="E734" s="12">
        <f>21.3728 * CHOOSE( CONTROL!$C$12, $D$11, 100%, $F$11)</f>
        <v>21.372800000000002</v>
      </c>
      <c r="F734" s="4">
        <f>22.3678 * CHOOSE(CONTROL!$C$12, $D$11, 100%, $F$11)</f>
        <v>22.367799999999999</v>
      </c>
      <c r="G734" s="8">
        <f>20.818 * CHOOSE( CONTROL!$C$12, $D$11, 100%, $F$11)</f>
        <v>20.818000000000001</v>
      </c>
      <c r="H734" s="4">
        <f>21.7272 * CHOOSE(CONTROL!$C$12, $D$11, 100%, $F$11)</f>
        <v>21.7272</v>
      </c>
      <c r="I734" s="8">
        <f>20.5437 * CHOOSE(CONTROL!$C$12, $D$11, 100%, $F$11)</f>
        <v>20.543700000000001</v>
      </c>
      <c r="J734" s="4">
        <f>20.4629 * CHOOSE(CONTROL!$C$12, $D$11, 100%, $F$11)</f>
        <v>20.462900000000001</v>
      </c>
      <c r="K734" s="4"/>
      <c r="L734" s="9">
        <v>28.921800000000001</v>
      </c>
      <c r="M734" s="9">
        <v>12.063700000000001</v>
      </c>
      <c r="N734" s="9">
        <v>4.9444999999999997</v>
      </c>
      <c r="O734" s="9">
        <v>0.37459999999999999</v>
      </c>
      <c r="P734" s="9">
        <v>1.2192000000000001</v>
      </c>
      <c r="Q734" s="9">
        <v>19.688099999999999</v>
      </c>
      <c r="R734" s="9"/>
      <c r="S734" s="11"/>
    </row>
    <row r="735" spans="1:19" ht="15.75">
      <c r="A735" s="13">
        <v>64253</v>
      </c>
      <c r="B735" s="8">
        <f>23.0372 * CHOOSE(CONTROL!$C$12, $D$11, 100%, $F$11)</f>
        <v>23.037199999999999</v>
      </c>
      <c r="C735" s="8">
        <f>23.0476 * CHOOSE(CONTROL!$C$12, $D$11, 100%, $F$11)</f>
        <v>23.047599999999999</v>
      </c>
      <c r="D735" s="8">
        <f>23.03 * CHOOSE( CONTROL!$C$12, $D$11, 100%, $F$11)</f>
        <v>23.03</v>
      </c>
      <c r="E735" s="12">
        <f>23.0353 * CHOOSE( CONTROL!$C$12, $D$11, 100%, $F$11)</f>
        <v>23.035299999999999</v>
      </c>
      <c r="F735" s="4">
        <f>24.0314 * CHOOSE(CONTROL!$C$12, $D$11, 100%, $F$11)</f>
        <v>24.031400000000001</v>
      </c>
      <c r="G735" s="8">
        <f>22.4647 * CHOOSE( CONTROL!$C$12, $D$11, 100%, $F$11)</f>
        <v>22.464700000000001</v>
      </c>
      <c r="H735" s="4">
        <f>23.3488 * CHOOSE(CONTROL!$C$12, $D$11, 100%, $F$11)</f>
        <v>23.348800000000001</v>
      </c>
      <c r="I735" s="8">
        <f>22.1745 * CHOOSE(CONTROL!$C$12, $D$11, 100%, $F$11)</f>
        <v>22.174499999999998</v>
      </c>
      <c r="J735" s="4">
        <f>22.0694 * CHOOSE(CONTROL!$C$12, $D$11, 100%, $F$11)</f>
        <v>22.069400000000002</v>
      </c>
      <c r="K735" s="4"/>
      <c r="L735" s="9">
        <v>26.515499999999999</v>
      </c>
      <c r="M735" s="9">
        <v>11.6745</v>
      </c>
      <c r="N735" s="9">
        <v>4.7850000000000001</v>
      </c>
      <c r="O735" s="9">
        <v>0.36249999999999999</v>
      </c>
      <c r="P735" s="9">
        <v>1.2522</v>
      </c>
      <c r="Q735" s="9">
        <v>19.053000000000001</v>
      </c>
      <c r="R735" s="9"/>
      <c r="S735" s="11"/>
    </row>
    <row r="736" spans="1:19" ht="15.75">
      <c r="A736" s="13">
        <v>64284</v>
      </c>
      <c r="B736" s="8">
        <f>22.9953 * CHOOSE(CONTROL!$C$12, $D$11, 100%, $F$11)</f>
        <v>22.9953</v>
      </c>
      <c r="C736" s="8">
        <f>23.0057 * CHOOSE(CONTROL!$C$12, $D$11, 100%, $F$11)</f>
        <v>23.005700000000001</v>
      </c>
      <c r="D736" s="8">
        <f>22.9901 * CHOOSE( CONTROL!$C$12, $D$11, 100%, $F$11)</f>
        <v>22.990100000000002</v>
      </c>
      <c r="E736" s="12">
        <f>22.9947 * CHOOSE( CONTROL!$C$12, $D$11, 100%, $F$11)</f>
        <v>22.994700000000002</v>
      </c>
      <c r="F736" s="4">
        <f>23.9895 * CHOOSE(CONTROL!$C$12, $D$11, 100%, $F$11)</f>
        <v>23.9895</v>
      </c>
      <c r="G736" s="8">
        <f>22.4254 * CHOOSE( CONTROL!$C$12, $D$11, 100%, $F$11)</f>
        <v>22.4254</v>
      </c>
      <c r="H736" s="4">
        <f>23.308 * CHOOSE(CONTROL!$C$12, $D$11, 100%, $F$11)</f>
        <v>23.308</v>
      </c>
      <c r="I736" s="8">
        <f>22.1416 * CHOOSE(CONTROL!$C$12, $D$11, 100%, $F$11)</f>
        <v>22.1416</v>
      </c>
      <c r="J736" s="4">
        <f>22.0293 * CHOOSE(CONTROL!$C$12, $D$11, 100%, $F$11)</f>
        <v>22.029299999999999</v>
      </c>
      <c r="K736" s="4"/>
      <c r="L736" s="9">
        <v>27.3993</v>
      </c>
      <c r="M736" s="9">
        <v>12.063700000000001</v>
      </c>
      <c r="N736" s="9">
        <v>4.9444999999999997</v>
      </c>
      <c r="O736" s="9">
        <v>0.37459999999999999</v>
      </c>
      <c r="P736" s="9">
        <v>1.2939000000000001</v>
      </c>
      <c r="Q736" s="9">
        <v>19.688099999999999</v>
      </c>
      <c r="R736" s="9"/>
      <c r="S736" s="11"/>
    </row>
    <row r="737" spans="1:19" ht="15.75">
      <c r="A737" s="13">
        <v>64315</v>
      </c>
      <c r="B737" s="8">
        <f>23.8739 * CHOOSE(CONTROL!$C$12, $D$11, 100%, $F$11)</f>
        <v>23.873899999999999</v>
      </c>
      <c r="C737" s="8">
        <f>23.8844 * CHOOSE(CONTROL!$C$12, $D$11, 100%, $F$11)</f>
        <v>23.884399999999999</v>
      </c>
      <c r="D737" s="8">
        <f>23.882 * CHOOSE( CONTROL!$C$12, $D$11, 100%, $F$11)</f>
        <v>23.882000000000001</v>
      </c>
      <c r="E737" s="12">
        <f>23.8818 * CHOOSE( CONTROL!$C$12, $D$11, 100%, $F$11)</f>
        <v>23.881799999999998</v>
      </c>
      <c r="F737" s="4">
        <f>24.8968 * CHOOSE(CONTROL!$C$12, $D$11, 100%, $F$11)</f>
        <v>24.896799999999999</v>
      </c>
      <c r="G737" s="8">
        <f>23.2991 * CHOOSE( CONTROL!$C$12, $D$11, 100%, $F$11)</f>
        <v>23.299099999999999</v>
      </c>
      <c r="H737" s="4">
        <f>24.1925 * CHOOSE(CONTROL!$C$12, $D$11, 100%, $F$11)</f>
        <v>24.192499999999999</v>
      </c>
      <c r="I737" s="8">
        <f>22.9913 * CHOOSE(CONTROL!$C$12, $D$11, 100%, $F$11)</f>
        <v>22.991299999999999</v>
      </c>
      <c r="J737" s="4">
        <f>22.8713 * CHOOSE(CONTROL!$C$12, $D$11, 100%, $F$11)</f>
        <v>22.871300000000002</v>
      </c>
      <c r="K737" s="4"/>
      <c r="L737" s="9">
        <v>27.3993</v>
      </c>
      <c r="M737" s="9">
        <v>12.063700000000001</v>
      </c>
      <c r="N737" s="9">
        <v>4.9444999999999997</v>
      </c>
      <c r="O737" s="9">
        <v>0.37459999999999999</v>
      </c>
      <c r="P737" s="9">
        <v>1.2939000000000001</v>
      </c>
      <c r="Q737" s="9">
        <v>19.688099999999999</v>
      </c>
      <c r="R737" s="9"/>
      <c r="S737" s="11"/>
    </row>
    <row r="738" spans="1:19" ht="15.75">
      <c r="A738" s="13">
        <v>64344</v>
      </c>
      <c r="B738" s="8">
        <f>22.3308 * CHOOSE(CONTROL!$C$12, $D$11, 100%, $F$11)</f>
        <v>22.3308</v>
      </c>
      <c r="C738" s="8">
        <f>22.3413 * CHOOSE(CONTROL!$C$12, $D$11, 100%, $F$11)</f>
        <v>22.3413</v>
      </c>
      <c r="D738" s="8">
        <f>22.3412 * CHOOSE( CONTROL!$C$12, $D$11, 100%, $F$11)</f>
        <v>22.341200000000001</v>
      </c>
      <c r="E738" s="12">
        <f>22.3401 * CHOOSE( CONTROL!$C$12, $D$11, 100%, $F$11)</f>
        <v>22.3401</v>
      </c>
      <c r="F738" s="4">
        <f>23.3459 * CHOOSE(CONTROL!$C$12, $D$11, 100%, $F$11)</f>
        <v>23.3459</v>
      </c>
      <c r="G738" s="8">
        <f>21.7948 * CHOOSE( CONTROL!$C$12, $D$11, 100%, $F$11)</f>
        <v>21.794799999999999</v>
      </c>
      <c r="H738" s="4">
        <f>22.6807 * CHOOSE(CONTROL!$C$12, $D$11, 100%, $F$11)</f>
        <v>22.680700000000002</v>
      </c>
      <c r="I738" s="8">
        <f>21.501 * CHOOSE(CONTROL!$C$12, $D$11, 100%, $F$11)</f>
        <v>21.501000000000001</v>
      </c>
      <c r="J738" s="4">
        <f>21.3927 * CHOOSE(CONTROL!$C$12, $D$11, 100%, $F$11)</f>
        <v>21.392700000000001</v>
      </c>
      <c r="K738" s="4"/>
      <c r="L738" s="9">
        <v>25.631599999999999</v>
      </c>
      <c r="M738" s="9">
        <v>11.285299999999999</v>
      </c>
      <c r="N738" s="9">
        <v>4.6254999999999997</v>
      </c>
      <c r="O738" s="9">
        <v>0.35039999999999999</v>
      </c>
      <c r="P738" s="9">
        <v>1.2104999999999999</v>
      </c>
      <c r="Q738" s="9">
        <v>18.417899999999999</v>
      </c>
      <c r="R738" s="9"/>
      <c r="S738" s="11"/>
    </row>
    <row r="739" spans="1:19" ht="15.75">
      <c r="A739" s="13">
        <v>64375</v>
      </c>
      <c r="B739" s="8">
        <f>21.8556 * CHOOSE(CONTROL!$C$12, $D$11, 100%, $F$11)</f>
        <v>21.855599999999999</v>
      </c>
      <c r="C739" s="8">
        <f>21.866 * CHOOSE(CONTROL!$C$12, $D$11, 100%, $F$11)</f>
        <v>21.866</v>
      </c>
      <c r="D739" s="8">
        <f>21.8459 * CHOOSE( CONTROL!$C$12, $D$11, 100%, $F$11)</f>
        <v>21.8459</v>
      </c>
      <c r="E739" s="12">
        <f>21.8521 * CHOOSE( CONTROL!$C$12, $D$11, 100%, $F$11)</f>
        <v>21.8521</v>
      </c>
      <c r="F739" s="4">
        <f>22.8545 * CHOOSE(CONTROL!$C$12, $D$11, 100%, $F$11)</f>
        <v>22.854500000000002</v>
      </c>
      <c r="G739" s="8">
        <f>21.3111 * CHOOSE( CONTROL!$C$12, $D$11, 100%, $F$11)</f>
        <v>21.3111</v>
      </c>
      <c r="H739" s="4">
        <f>22.2017 * CHOOSE(CONTROL!$C$12, $D$11, 100%, $F$11)</f>
        <v>22.201699999999999</v>
      </c>
      <c r="I739" s="8">
        <f>21.0059 * CHOOSE(CONTROL!$C$12, $D$11, 100%, $F$11)</f>
        <v>21.0059</v>
      </c>
      <c r="J739" s="4">
        <f>20.9373 * CHOOSE(CONTROL!$C$12, $D$11, 100%, $F$11)</f>
        <v>20.9373</v>
      </c>
      <c r="K739" s="4"/>
      <c r="L739" s="9">
        <v>27.3993</v>
      </c>
      <c r="M739" s="9">
        <v>12.063700000000001</v>
      </c>
      <c r="N739" s="9">
        <v>4.9444999999999997</v>
      </c>
      <c r="O739" s="9">
        <v>0.37459999999999999</v>
      </c>
      <c r="P739" s="9">
        <v>1.2939000000000001</v>
      </c>
      <c r="Q739" s="9">
        <v>19.688099999999999</v>
      </c>
      <c r="R739" s="9"/>
      <c r="S739" s="11"/>
    </row>
    <row r="740" spans="1:19" ht="15.75">
      <c r="A740" s="13">
        <v>64405</v>
      </c>
      <c r="B740" s="8">
        <f>22.1877 * CHOOSE(CONTROL!$C$12, $D$11, 100%, $F$11)</f>
        <v>22.1877</v>
      </c>
      <c r="C740" s="8">
        <f>22.1981 * CHOOSE(CONTROL!$C$12, $D$11, 100%, $F$11)</f>
        <v>22.1981</v>
      </c>
      <c r="D740" s="8">
        <f>22.2013 * CHOOSE( CONTROL!$C$12, $D$11, 100%, $F$11)</f>
        <v>22.2013</v>
      </c>
      <c r="E740" s="12">
        <f>22.1991 * CHOOSE( CONTROL!$C$12, $D$11, 100%, $F$11)</f>
        <v>22.199100000000001</v>
      </c>
      <c r="F740" s="4">
        <f>23.1949 * CHOOSE(CONTROL!$C$12, $D$11, 100%, $F$11)</f>
        <v>23.194900000000001</v>
      </c>
      <c r="G740" s="8">
        <f>21.6227 * CHOOSE( CONTROL!$C$12, $D$11, 100%, $F$11)</f>
        <v>21.622699999999998</v>
      </c>
      <c r="H740" s="4">
        <f>22.5335 * CHOOSE(CONTROL!$C$12, $D$11, 100%, $F$11)</f>
        <v>22.5335</v>
      </c>
      <c r="I740" s="8">
        <f>21.3144 * CHOOSE(CONTROL!$C$12, $D$11, 100%, $F$11)</f>
        <v>21.314399999999999</v>
      </c>
      <c r="J740" s="4">
        <f>21.2555 * CHOOSE(CONTROL!$C$12, $D$11, 100%, $F$11)</f>
        <v>21.255500000000001</v>
      </c>
      <c r="K740" s="4"/>
      <c r="L740" s="9">
        <v>27.988800000000001</v>
      </c>
      <c r="M740" s="9">
        <v>11.6745</v>
      </c>
      <c r="N740" s="9">
        <v>4.7850000000000001</v>
      </c>
      <c r="O740" s="9">
        <v>0.36249999999999999</v>
      </c>
      <c r="P740" s="9">
        <v>1.1798</v>
      </c>
      <c r="Q740" s="9">
        <v>19.053000000000001</v>
      </c>
      <c r="R740" s="9"/>
      <c r="S740" s="11"/>
    </row>
    <row r="741" spans="1:19" ht="15.75">
      <c r="A741" s="13">
        <v>64436</v>
      </c>
      <c r="B741" s="8">
        <f>CHOOSE( CONTROL!$C$29, 22.783, 22.7788) * CHOOSE(CONTROL!$C$12, $D$11, 100%, $F$11)</f>
        <v>22.783000000000001</v>
      </c>
      <c r="C741" s="8">
        <f>CHOOSE( CONTROL!$C$29, 22.7934, 22.7892) * CHOOSE(CONTROL!$C$12, $D$11, 100%, $F$11)</f>
        <v>22.793399999999998</v>
      </c>
      <c r="D741" s="8">
        <f>CHOOSE( CONTROL!$C$29, 22.7714, 22.7671) * CHOOSE( CONTROL!$C$12, $D$11, 100%, $F$11)</f>
        <v>22.7714</v>
      </c>
      <c r="E741" s="12">
        <f>CHOOSE( CONTROL!$C$29, 22.7778, 22.7735) * CHOOSE( CONTROL!$C$12, $D$11, 100%, $F$11)</f>
        <v>22.777799999999999</v>
      </c>
      <c r="F741" s="4">
        <f>CHOOSE( CONTROL!$C$29, 23.7579, 23.7537) * CHOOSE(CONTROL!$C$12, $D$11, 100%, $F$11)</f>
        <v>23.757899999999999</v>
      </c>
      <c r="G741" s="8">
        <f>CHOOSE( CONTROL!$C$29, 22.1842, 22.18) * CHOOSE( CONTROL!$C$12, $D$11, 100%, $F$11)</f>
        <v>22.184200000000001</v>
      </c>
      <c r="H741" s="4">
        <f>CHOOSE( CONTROL!$C$29, 23.0823, 23.0781) * CHOOSE(CONTROL!$C$12, $D$11, 100%, $F$11)</f>
        <v>23.0823</v>
      </c>
      <c r="I741" s="8">
        <f>CHOOSE( CONTROL!$C$29, 21.8635, 21.8595) * CHOOSE(CONTROL!$C$12, $D$11, 100%, $F$11)</f>
        <v>21.863499999999998</v>
      </c>
      <c r="J741" s="4">
        <f>CHOOSE( CONTROL!$C$29, 21.8259, 21.8219) * CHOOSE(CONTROL!$C$12, $D$11, 100%, $F$11)</f>
        <v>21.825900000000001</v>
      </c>
      <c r="K741" s="4"/>
      <c r="L741" s="9">
        <v>29.520499999999998</v>
      </c>
      <c r="M741" s="9">
        <v>12.063700000000001</v>
      </c>
      <c r="N741" s="9">
        <v>4.9444999999999997</v>
      </c>
      <c r="O741" s="9">
        <v>0.37459999999999999</v>
      </c>
      <c r="P741" s="9">
        <v>1.2192000000000001</v>
      </c>
      <c r="Q741" s="9">
        <v>19.688099999999999</v>
      </c>
      <c r="R741" s="9"/>
      <c r="S741" s="11"/>
    </row>
    <row r="742" spans="1:19" ht="15.75">
      <c r="A742" s="13">
        <v>64466</v>
      </c>
      <c r="B742" s="8">
        <f>CHOOSE( CONTROL!$C$29, 22.4169, 22.4126) * CHOOSE(CONTROL!$C$12, $D$11, 100%, $F$11)</f>
        <v>22.416899999999998</v>
      </c>
      <c r="C742" s="8">
        <f>CHOOSE( CONTROL!$C$29, 22.4273, 22.423) * CHOOSE(CONTROL!$C$12, $D$11, 100%, $F$11)</f>
        <v>22.427299999999999</v>
      </c>
      <c r="D742" s="8">
        <f>CHOOSE( CONTROL!$C$29, 22.3996, 22.3954) * CHOOSE( CONTROL!$C$12, $D$11, 100%, $F$11)</f>
        <v>22.3996</v>
      </c>
      <c r="E742" s="12">
        <f>CHOOSE( CONTROL!$C$29, 22.4081, 22.4038) * CHOOSE( CONTROL!$C$12, $D$11, 100%, $F$11)</f>
        <v>22.408100000000001</v>
      </c>
      <c r="F742" s="4">
        <f>CHOOSE( CONTROL!$C$29, 23.3813, 23.3771) * CHOOSE(CONTROL!$C$12, $D$11, 100%, $F$11)</f>
        <v>23.3813</v>
      </c>
      <c r="G742" s="8">
        <f>CHOOSE( CONTROL!$C$29, 21.826, 21.8219) * CHOOSE( CONTROL!$C$12, $D$11, 100%, $F$11)</f>
        <v>21.826000000000001</v>
      </c>
      <c r="H742" s="4">
        <f>CHOOSE( CONTROL!$C$29, 22.7152, 22.7111) * CHOOSE(CONTROL!$C$12, $D$11, 100%, $F$11)</f>
        <v>22.715199999999999</v>
      </c>
      <c r="I742" s="8">
        <f>CHOOSE( CONTROL!$C$29, 21.5147, 21.5106) * CHOOSE(CONTROL!$C$12, $D$11, 100%, $F$11)</f>
        <v>21.514700000000001</v>
      </c>
      <c r="J742" s="4">
        <f>CHOOSE( CONTROL!$C$29, 21.4751, 21.471) * CHOOSE(CONTROL!$C$12, $D$11, 100%, $F$11)</f>
        <v>21.475100000000001</v>
      </c>
      <c r="K742" s="4"/>
      <c r="L742" s="9">
        <v>28.568200000000001</v>
      </c>
      <c r="M742" s="9">
        <v>11.6745</v>
      </c>
      <c r="N742" s="9">
        <v>4.7850000000000001</v>
      </c>
      <c r="O742" s="9">
        <v>0.36249999999999999</v>
      </c>
      <c r="P742" s="9">
        <v>1.1798</v>
      </c>
      <c r="Q742" s="9">
        <v>19.053000000000001</v>
      </c>
      <c r="R742" s="9"/>
      <c r="S742" s="11"/>
    </row>
    <row r="743" spans="1:19" ht="15.75">
      <c r="A743" s="13">
        <v>64497</v>
      </c>
      <c r="B743" s="8">
        <f>CHOOSE( CONTROL!$C$29, 23.3811, 23.3768) * CHOOSE(CONTROL!$C$12, $D$11, 100%, $F$11)</f>
        <v>23.3811</v>
      </c>
      <c r="C743" s="8">
        <f>CHOOSE( CONTROL!$C$29, 23.3915, 23.3873) * CHOOSE(CONTROL!$C$12, $D$11, 100%, $F$11)</f>
        <v>23.391500000000001</v>
      </c>
      <c r="D743" s="8">
        <f>CHOOSE( CONTROL!$C$29, 23.3976, 23.3934) * CHOOSE( CONTROL!$C$12, $D$11, 100%, $F$11)</f>
        <v>23.397600000000001</v>
      </c>
      <c r="E743" s="12">
        <f>CHOOSE( CONTROL!$C$29, 23.3938, 23.3896) * CHOOSE( CONTROL!$C$12, $D$11, 100%, $F$11)</f>
        <v>23.393799999999999</v>
      </c>
      <c r="F743" s="4">
        <f>CHOOSE( CONTROL!$C$29, 24.3909, 24.3867) * CHOOSE(CONTROL!$C$12, $D$11, 100%, $F$11)</f>
        <v>24.390899999999998</v>
      </c>
      <c r="G743" s="8">
        <f>CHOOSE( CONTROL!$C$29, 22.7919, 22.7878) * CHOOSE( CONTROL!$C$12, $D$11, 100%, $F$11)</f>
        <v>22.791899999999998</v>
      </c>
      <c r="H743" s="4">
        <f>CHOOSE( CONTROL!$C$29, 23.6993, 23.6952) * CHOOSE(CONTROL!$C$12, $D$11, 100%, $F$11)</f>
        <v>23.699300000000001</v>
      </c>
      <c r="I743" s="8">
        <f>CHOOSE( CONTROL!$C$29, 22.4943, 22.4903) * CHOOSE(CONTROL!$C$12, $D$11, 100%, $F$11)</f>
        <v>22.494299999999999</v>
      </c>
      <c r="J743" s="4">
        <f>CHOOSE( CONTROL!$C$29, 22.399, 22.3949) * CHOOSE(CONTROL!$C$12, $D$11, 100%, $F$11)</f>
        <v>22.399000000000001</v>
      </c>
      <c r="K743" s="4"/>
      <c r="L743" s="9">
        <v>29.520499999999998</v>
      </c>
      <c r="M743" s="9">
        <v>12.063700000000001</v>
      </c>
      <c r="N743" s="9">
        <v>4.9444999999999997</v>
      </c>
      <c r="O743" s="9">
        <v>0.37459999999999999</v>
      </c>
      <c r="P743" s="9">
        <v>1.2192000000000001</v>
      </c>
      <c r="Q743" s="9">
        <v>19.688099999999999</v>
      </c>
      <c r="R743" s="9"/>
      <c r="S743" s="11"/>
    </row>
    <row r="744" spans="1:19" ht="15.75">
      <c r="A744" s="13">
        <v>64528</v>
      </c>
      <c r="B744" s="8">
        <f>CHOOSE( CONTROL!$C$29, 21.5769, 21.5727) * CHOOSE(CONTROL!$C$12, $D$11, 100%, $F$11)</f>
        <v>21.576899999999998</v>
      </c>
      <c r="C744" s="8">
        <f>CHOOSE( CONTROL!$C$29, 21.5874, 21.5831) * CHOOSE(CONTROL!$C$12, $D$11, 100%, $F$11)</f>
        <v>21.587399999999999</v>
      </c>
      <c r="D744" s="8">
        <f>CHOOSE( CONTROL!$C$29, 21.61, 21.6057) * CHOOSE( CONTROL!$C$12, $D$11, 100%, $F$11)</f>
        <v>21.61</v>
      </c>
      <c r="E744" s="12">
        <f>CHOOSE( CONTROL!$C$29, 21.6002, 21.5959) * CHOOSE( CONTROL!$C$12, $D$11, 100%, $F$11)</f>
        <v>21.600200000000001</v>
      </c>
      <c r="F744" s="4">
        <f>CHOOSE( CONTROL!$C$29, 22.6155, 22.6112) * CHOOSE(CONTROL!$C$12, $D$11, 100%, $F$11)</f>
        <v>22.615500000000001</v>
      </c>
      <c r="G744" s="8">
        <f>CHOOSE( CONTROL!$C$29, 21.0389, 21.0348) * CHOOSE( CONTROL!$C$12, $D$11, 100%, $F$11)</f>
        <v>21.038900000000002</v>
      </c>
      <c r="H744" s="4">
        <f>CHOOSE( CONTROL!$C$29, 21.9687, 21.9645) * CHOOSE(CONTROL!$C$12, $D$11, 100%, $F$11)</f>
        <v>21.968699999999998</v>
      </c>
      <c r="I744" s="8">
        <f>CHOOSE( CONTROL!$C$29, 20.7562, 20.7522) * CHOOSE(CONTROL!$C$12, $D$11, 100%, $F$11)</f>
        <v>20.7562</v>
      </c>
      <c r="J744" s="4">
        <f>CHOOSE( CONTROL!$C$29, 20.6703, 20.6662) * CHOOSE(CONTROL!$C$12, $D$11, 100%, $F$11)</f>
        <v>20.670300000000001</v>
      </c>
      <c r="K744" s="4"/>
      <c r="L744" s="9">
        <v>29.520499999999998</v>
      </c>
      <c r="M744" s="9">
        <v>12.063700000000001</v>
      </c>
      <c r="N744" s="9">
        <v>4.9444999999999997</v>
      </c>
      <c r="O744" s="9">
        <v>0.37459999999999999</v>
      </c>
      <c r="P744" s="9">
        <v>1.2192000000000001</v>
      </c>
      <c r="Q744" s="9">
        <v>19.688099999999999</v>
      </c>
      <c r="R744" s="9"/>
      <c r="S744" s="11"/>
    </row>
    <row r="745" spans="1:19" ht="15.75">
      <c r="A745" s="13">
        <v>64558</v>
      </c>
      <c r="B745" s="8">
        <f>CHOOSE( CONTROL!$C$29, 21.1251, 21.1209) * CHOOSE(CONTROL!$C$12, $D$11, 100%, $F$11)</f>
        <v>21.1251</v>
      </c>
      <c r="C745" s="8">
        <f>CHOOSE( CONTROL!$C$29, 21.1356, 21.1313) * CHOOSE(CONTROL!$C$12, $D$11, 100%, $F$11)</f>
        <v>21.1356</v>
      </c>
      <c r="D745" s="8">
        <f>CHOOSE( CONTROL!$C$29, 21.1581, 21.1539) * CHOOSE( CONTROL!$C$12, $D$11, 100%, $F$11)</f>
        <v>21.158100000000001</v>
      </c>
      <c r="E745" s="12">
        <f>CHOOSE( CONTROL!$C$29, 21.1483, 21.1441) * CHOOSE( CONTROL!$C$12, $D$11, 100%, $F$11)</f>
        <v>21.148299999999999</v>
      </c>
      <c r="F745" s="4">
        <f>CHOOSE( CONTROL!$C$29, 22.1637, 22.1595) * CHOOSE(CONTROL!$C$12, $D$11, 100%, $F$11)</f>
        <v>22.163699999999999</v>
      </c>
      <c r="G745" s="8">
        <f>CHOOSE( CONTROL!$C$29, 20.5982, 20.5941) * CHOOSE( CONTROL!$C$12, $D$11, 100%, $F$11)</f>
        <v>20.598199999999999</v>
      </c>
      <c r="H745" s="4">
        <f>CHOOSE( CONTROL!$C$29, 21.5283, 21.5242) * CHOOSE(CONTROL!$C$12, $D$11, 100%, $F$11)</f>
        <v>21.528300000000002</v>
      </c>
      <c r="I745" s="8">
        <f>CHOOSE( CONTROL!$C$29, 20.3214, 20.3173) * CHOOSE(CONTROL!$C$12, $D$11, 100%, $F$11)</f>
        <v>20.321400000000001</v>
      </c>
      <c r="J745" s="4">
        <f>CHOOSE( CONTROL!$C$29, 20.2374, 20.2333) * CHOOSE(CONTROL!$C$12, $D$11, 100%, $F$11)</f>
        <v>20.237400000000001</v>
      </c>
      <c r="K745" s="4"/>
      <c r="L745" s="9">
        <v>28.568200000000001</v>
      </c>
      <c r="M745" s="9">
        <v>11.6745</v>
      </c>
      <c r="N745" s="9">
        <v>4.7850000000000001</v>
      </c>
      <c r="O745" s="9">
        <v>0.36249999999999999</v>
      </c>
      <c r="P745" s="9">
        <v>1.1798</v>
      </c>
      <c r="Q745" s="9">
        <v>19.053000000000001</v>
      </c>
      <c r="R745" s="9"/>
      <c r="S745" s="11"/>
    </row>
    <row r="746" spans="1:19" ht="15.75">
      <c r="A746" s="13">
        <v>64589</v>
      </c>
      <c r="B746" s="8">
        <f>22.059 * CHOOSE(CONTROL!$C$12, $D$11, 100%, $F$11)</f>
        <v>22.059000000000001</v>
      </c>
      <c r="C746" s="8">
        <f>22.0694 * CHOOSE(CONTROL!$C$12, $D$11, 100%, $F$11)</f>
        <v>22.069400000000002</v>
      </c>
      <c r="D746" s="8">
        <f>22.0738 * CHOOSE( CONTROL!$C$12, $D$11, 100%, $F$11)</f>
        <v>22.073799999999999</v>
      </c>
      <c r="E746" s="12">
        <f>22.0712 * CHOOSE( CONTROL!$C$12, $D$11, 100%, $F$11)</f>
        <v>22.071200000000001</v>
      </c>
      <c r="F746" s="4">
        <f>23.0662 * CHOOSE(CONTROL!$C$12, $D$11, 100%, $F$11)</f>
        <v>23.066199999999998</v>
      </c>
      <c r="G746" s="8">
        <f>21.4987 * CHOOSE( CONTROL!$C$12, $D$11, 100%, $F$11)</f>
        <v>21.498699999999999</v>
      </c>
      <c r="H746" s="4">
        <f>22.408 * CHOOSE(CONTROL!$C$12, $D$11, 100%, $F$11)</f>
        <v>22.408000000000001</v>
      </c>
      <c r="I746" s="8">
        <f>21.2132 * CHOOSE(CONTROL!$C$12, $D$11, 100%, $F$11)</f>
        <v>21.213200000000001</v>
      </c>
      <c r="J746" s="4">
        <f>21.1321 * CHOOSE(CONTROL!$C$12, $D$11, 100%, $F$11)</f>
        <v>21.132100000000001</v>
      </c>
      <c r="K746" s="4"/>
      <c r="L746" s="9">
        <v>28.921800000000001</v>
      </c>
      <c r="M746" s="9">
        <v>12.063700000000001</v>
      </c>
      <c r="N746" s="9">
        <v>4.9444999999999997</v>
      </c>
      <c r="O746" s="9">
        <v>0.37459999999999999</v>
      </c>
      <c r="P746" s="9">
        <v>1.2192000000000001</v>
      </c>
      <c r="Q746" s="9">
        <v>19.688099999999999</v>
      </c>
      <c r="R746" s="9"/>
      <c r="S746" s="11"/>
    </row>
    <row r="747" spans="1:19" ht="15.75">
      <c r="A747" s="13">
        <v>64619</v>
      </c>
      <c r="B747" s="8">
        <f>23.7904 * CHOOSE(CONTROL!$C$12, $D$11, 100%, $F$11)</f>
        <v>23.790400000000002</v>
      </c>
      <c r="C747" s="8">
        <f>23.8008 * CHOOSE(CONTROL!$C$12, $D$11, 100%, $F$11)</f>
        <v>23.800799999999999</v>
      </c>
      <c r="D747" s="8">
        <f>23.7832 * CHOOSE( CONTROL!$C$12, $D$11, 100%, $F$11)</f>
        <v>23.783200000000001</v>
      </c>
      <c r="E747" s="12">
        <f>23.7885 * CHOOSE( CONTROL!$C$12, $D$11, 100%, $F$11)</f>
        <v>23.788499999999999</v>
      </c>
      <c r="F747" s="4">
        <f>24.7846 * CHOOSE(CONTROL!$C$12, $D$11, 100%, $F$11)</f>
        <v>24.784600000000001</v>
      </c>
      <c r="G747" s="8">
        <f>23.199 * CHOOSE( CONTROL!$C$12, $D$11, 100%, $F$11)</f>
        <v>23.199000000000002</v>
      </c>
      <c r="H747" s="4">
        <f>24.0831 * CHOOSE(CONTROL!$C$12, $D$11, 100%, $F$11)</f>
        <v>24.083100000000002</v>
      </c>
      <c r="I747" s="8">
        <f>22.8966 * CHOOSE(CONTROL!$C$12, $D$11, 100%, $F$11)</f>
        <v>22.896599999999999</v>
      </c>
      <c r="J747" s="4">
        <f>22.7912 * CHOOSE(CONTROL!$C$12, $D$11, 100%, $F$11)</f>
        <v>22.7912</v>
      </c>
      <c r="K747" s="4"/>
      <c r="L747" s="9">
        <v>26.515499999999999</v>
      </c>
      <c r="M747" s="9">
        <v>11.6745</v>
      </c>
      <c r="N747" s="9">
        <v>4.7850000000000001</v>
      </c>
      <c r="O747" s="9">
        <v>0.36249999999999999</v>
      </c>
      <c r="P747" s="9">
        <v>1.2522</v>
      </c>
      <c r="Q747" s="9">
        <v>19.053000000000001</v>
      </c>
      <c r="R747" s="9"/>
      <c r="S747" s="11"/>
    </row>
    <row r="748" spans="1:19" ht="15.75">
      <c r="A748" s="13">
        <v>64650</v>
      </c>
      <c r="B748" s="8">
        <f>23.7471 * CHOOSE(CONTROL!$C$12, $D$11, 100%, $F$11)</f>
        <v>23.7471</v>
      </c>
      <c r="C748" s="8">
        <f>23.7576 * CHOOSE(CONTROL!$C$12, $D$11, 100%, $F$11)</f>
        <v>23.7576</v>
      </c>
      <c r="D748" s="8">
        <f>23.742 * CHOOSE( CONTROL!$C$12, $D$11, 100%, $F$11)</f>
        <v>23.742000000000001</v>
      </c>
      <c r="E748" s="12">
        <f>23.7466 * CHOOSE( CONTROL!$C$12, $D$11, 100%, $F$11)</f>
        <v>23.746600000000001</v>
      </c>
      <c r="F748" s="4">
        <f>24.7413 * CHOOSE(CONTROL!$C$12, $D$11, 100%, $F$11)</f>
        <v>24.741299999999999</v>
      </c>
      <c r="G748" s="8">
        <f>23.1583 * CHOOSE( CONTROL!$C$12, $D$11, 100%, $F$11)</f>
        <v>23.158300000000001</v>
      </c>
      <c r="H748" s="4">
        <f>24.0409 * CHOOSE(CONTROL!$C$12, $D$11, 100%, $F$11)</f>
        <v>24.040900000000001</v>
      </c>
      <c r="I748" s="8">
        <f>22.8624 * CHOOSE(CONTROL!$C$12, $D$11, 100%, $F$11)</f>
        <v>22.862400000000001</v>
      </c>
      <c r="J748" s="4">
        <f>22.7497 * CHOOSE(CONTROL!$C$12, $D$11, 100%, $F$11)</f>
        <v>22.749700000000001</v>
      </c>
      <c r="K748" s="4"/>
      <c r="L748" s="9">
        <v>27.3993</v>
      </c>
      <c r="M748" s="9">
        <v>12.063700000000001</v>
      </c>
      <c r="N748" s="9">
        <v>4.9444999999999997</v>
      </c>
      <c r="O748" s="9">
        <v>0.37459999999999999</v>
      </c>
      <c r="P748" s="9">
        <v>1.2939000000000001</v>
      </c>
      <c r="Q748" s="9">
        <v>19.688099999999999</v>
      </c>
      <c r="R748" s="9"/>
      <c r="S748" s="11"/>
    </row>
    <row r="749" spans="1:19" ht="15.75">
      <c r="A749" s="13">
        <v>64681</v>
      </c>
      <c r="B749" s="8">
        <f>24.6545 * CHOOSE(CONTROL!$C$12, $D$11, 100%, $F$11)</f>
        <v>24.654499999999999</v>
      </c>
      <c r="C749" s="8">
        <f>24.665 * CHOOSE(CONTROL!$C$12, $D$11, 100%, $F$11)</f>
        <v>24.664999999999999</v>
      </c>
      <c r="D749" s="8">
        <f>24.6626 * CHOOSE( CONTROL!$C$12, $D$11, 100%, $F$11)</f>
        <v>24.662600000000001</v>
      </c>
      <c r="E749" s="12">
        <f>24.6624 * CHOOSE( CONTROL!$C$12, $D$11, 100%, $F$11)</f>
        <v>24.662400000000002</v>
      </c>
      <c r="F749" s="4">
        <f>25.6775 * CHOOSE(CONTROL!$C$12, $D$11, 100%, $F$11)</f>
        <v>25.677499999999998</v>
      </c>
      <c r="G749" s="8">
        <f>24.06 * CHOOSE( CONTROL!$C$12, $D$11, 100%, $F$11)</f>
        <v>24.06</v>
      </c>
      <c r="H749" s="4">
        <f>24.9534 * CHOOSE(CONTROL!$C$12, $D$11, 100%, $F$11)</f>
        <v>24.953399999999998</v>
      </c>
      <c r="I749" s="8">
        <f>23.7396 * CHOOSE(CONTROL!$C$12, $D$11, 100%, $F$11)</f>
        <v>23.739599999999999</v>
      </c>
      <c r="J749" s="4">
        <f>23.6192 * CHOOSE(CONTROL!$C$12, $D$11, 100%, $F$11)</f>
        <v>23.619199999999999</v>
      </c>
      <c r="K749" s="4"/>
      <c r="L749" s="9">
        <v>27.3993</v>
      </c>
      <c r="M749" s="9">
        <v>12.063700000000001</v>
      </c>
      <c r="N749" s="9">
        <v>4.9444999999999997</v>
      </c>
      <c r="O749" s="9">
        <v>0.37459999999999999</v>
      </c>
      <c r="P749" s="9">
        <v>1.2939000000000001</v>
      </c>
      <c r="Q749" s="9">
        <v>19.688099999999999</v>
      </c>
      <c r="R749" s="9"/>
      <c r="S749" s="11"/>
    </row>
    <row r="750" spans="1:19" ht="15.75">
      <c r="A750" s="13">
        <v>64709</v>
      </c>
      <c r="B750" s="8">
        <f>23.061 * CHOOSE(CONTROL!$C$12, $D$11, 100%, $F$11)</f>
        <v>23.061</v>
      </c>
      <c r="C750" s="8">
        <f>23.0714 * CHOOSE(CONTROL!$C$12, $D$11, 100%, $F$11)</f>
        <v>23.071400000000001</v>
      </c>
      <c r="D750" s="8">
        <f>23.0714 * CHOOSE( CONTROL!$C$12, $D$11, 100%, $F$11)</f>
        <v>23.071400000000001</v>
      </c>
      <c r="E750" s="12">
        <f>23.0703 * CHOOSE( CONTROL!$C$12, $D$11, 100%, $F$11)</f>
        <v>23.0703</v>
      </c>
      <c r="F750" s="4">
        <f>24.0761 * CHOOSE(CONTROL!$C$12, $D$11, 100%, $F$11)</f>
        <v>24.0761</v>
      </c>
      <c r="G750" s="8">
        <f>22.5065 * CHOOSE( CONTROL!$C$12, $D$11, 100%, $F$11)</f>
        <v>22.506499999999999</v>
      </c>
      <c r="H750" s="4">
        <f>23.3924 * CHOOSE(CONTROL!$C$12, $D$11, 100%, $F$11)</f>
        <v>23.392399999999999</v>
      </c>
      <c r="I750" s="8">
        <f>22.201 * CHOOSE(CONTROL!$C$12, $D$11, 100%, $F$11)</f>
        <v>22.201000000000001</v>
      </c>
      <c r="J750" s="4">
        <f>22.0923 * CHOOSE(CONTROL!$C$12, $D$11, 100%, $F$11)</f>
        <v>22.092300000000002</v>
      </c>
      <c r="K750" s="4"/>
      <c r="L750" s="9">
        <v>24.747800000000002</v>
      </c>
      <c r="M750" s="9">
        <v>10.8962</v>
      </c>
      <c r="N750" s="9">
        <v>4.4660000000000002</v>
      </c>
      <c r="O750" s="9">
        <v>0.33829999999999999</v>
      </c>
      <c r="P750" s="9">
        <v>1.1687000000000001</v>
      </c>
      <c r="Q750" s="9">
        <v>17.782800000000002</v>
      </c>
      <c r="R750" s="9"/>
      <c r="S750" s="11"/>
    </row>
    <row r="751" spans="1:19" ht="15.75">
      <c r="A751" s="13">
        <v>64740</v>
      </c>
      <c r="B751" s="8">
        <f>22.5702 * CHOOSE(CONTROL!$C$12, $D$11, 100%, $F$11)</f>
        <v>22.5702</v>
      </c>
      <c r="C751" s="8">
        <f>22.5806 * CHOOSE(CONTROL!$C$12, $D$11, 100%, $F$11)</f>
        <v>22.5806</v>
      </c>
      <c r="D751" s="8">
        <f>22.5605 * CHOOSE( CONTROL!$C$12, $D$11, 100%, $F$11)</f>
        <v>22.560500000000001</v>
      </c>
      <c r="E751" s="12">
        <f>22.5667 * CHOOSE( CONTROL!$C$12, $D$11, 100%, $F$11)</f>
        <v>22.566700000000001</v>
      </c>
      <c r="F751" s="4">
        <f>23.5691 * CHOOSE(CONTROL!$C$12, $D$11, 100%, $F$11)</f>
        <v>23.569099999999999</v>
      </c>
      <c r="G751" s="8">
        <f>22.0076 * CHOOSE( CONTROL!$C$12, $D$11, 100%, $F$11)</f>
        <v>22.0076</v>
      </c>
      <c r="H751" s="4">
        <f>22.8982 * CHOOSE(CONTROL!$C$12, $D$11, 100%, $F$11)</f>
        <v>22.898199999999999</v>
      </c>
      <c r="I751" s="8">
        <f>21.6909 * CHOOSE(CONTROL!$C$12, $D$11, 100%, $F$11)</f>
        <v>21.690899999999999</v>
      </c>
      <c r="J751" s="4">
        <f>21.622 * CHOOSE(CONTROL!$C$12, $D$11, 100%, $F$11)</f>
        <v>21.622</v>
      </c>
      <c r="K751" s="4"/>
      <c r="L751" s="9">
        <v>27.3993</v>
      </c>
      <c r="M751" s="9">
        <v>12.063700000000001</v>
      </c>
      <c r="N751" s="9">
        <v>4.9444999999999997</v>
      </c>
      <c r="O751" s="9">
        <v>0.37459999999999999</v>
      </c>
      <c r="P751" s="9">
        <v>1.2939000000000001</v>
      </c>
      <c r="Q751" s="9">
        <v>19.688099999999999</v>
      </c>
      <c r="R751" s="9"/>
      <c r="S751" s="11"/>
    </row>
    <row r="752" spans="1:19" ht="15.75">
      <c r="A752" s="13">
        <v>64770</v>
      </c>
      <c r="B752" s="8">
        <f>22.9131 * CHOOSE(CONTROL!$C$12, $D$11, 100%, $F$11)</f>
        <v>22.9131</v>
      </c>
      <c r="C752" s="8">
        <f>22.9236 * CHOOSE(CONTROL!$C$12, $D$11, 100%, $F$11)</f>
        <v>22.9236</v>
      </c>
      <c r="D752" s="8">
        <f>22.9268 * CHOOSE( CONTROL!$C$12, $D$11, 100%, $F$11)</f>
        <v>22.9268</v>
      </c>
      <c r="E752" s="12">
        <f>22.9245 * CHOOSE( CONTROL!$C$12, $D$11, 100%, $F$11)</f>
        <v>22.924499999999998</v>
      </c>
      <c r="F752" s="4">
        <f>23.9204 * CHOOSE(CONTROL!$C$12, $D$11, 100%, $F$11)</f>
        <v>23.920400000000001</v>
      </c>
      <c r="G752" s="8">
        <f>22.3298 * CHOOSE( CONTROL!$C$12, $D$11, 100%, $F$11)</f>
        <v>22.329799999999999</v>
      </c>
      <c r="H752" s="4">
        <f>23.2407 * CHOOSE(CONTROL!$C$12, $D$11, 100%, $F$11)</f>
        <v>23.2407</v>
      </c>
      <c r="I752" s="8">
        <f>22.0098 * CHOOSE(CONTROL!$C$12, $D$11, 100%, $F$11)</f>
        <v>22.009799999999998</v>
      </c>
      <c r="J752" s="4">
        <f>21.9506 * CHOOSE(CONTROL!$C$12, $D$11, 100%, $F$11)</f>
        <v>21.950600000000001</v>
      </c>
      <c r="K752" s="4"/>
      <c r="L752" s="9">
        <v>27.988800000000001</v>
      </c>
      <c r="M752" s="9">
        <v>11.6745</v>
      </c>
      <c r="N752" s="9">
        <v>4.7850000000000001</v>
      </c>
      <c r="O752" s="9">
        <v>0.36249999999999999</v>
      </c>
      <c r="P752" s="9">
        <v>1.1798</v>
      </c>
      <c r="Q752" s="9">
        <v>19.053000000000001</v>
      </c>
      <c r="R752" s="9"/>
      <c r="S752" s="11"/>
    </row>
    <row r="753" spans="1:19" ht="15.75">
      <c r="A753" s="13">
        <v>64801</v>
      </c>
      <c r="B753" s="8">
        <f>CHOOSE( CONTROL!$C$29, 23.5278, 23.5235) * CHOOSE(CONTROL!$C$12, $D$11, 100%, $F$11)</f>
        <v>23.527799999999999</v>
      </c>
      <c r="C753" s="8">
        <f>CHOOSE( CONTROL!$C$29, 23.5382, 23.534) * CHOOSE(CONTROL!$C$12, $D$11, 100%, $F$11)</f>
        <v>23.5382</v>
      </c>
      <c r="D753" s="8">
        <f>CHOOSE( CONTROL!$C$29, 23.5161, 23.5119) * CHOOSE( CONTROL!$C$12, $D$11, 100%, $F$11)</f>
        <v>23.516100000000002</v>
      </c>
      <c r="E753" s="12">
        <f>CHOOSE( CONTROL!$C$29, 23.5225, 23.5183) * CHOOSE( CONTROL!$C$12, $D$11, 100%, $F$11)</f>
        <v>23.522500000000001</v>
      </c>
      <c r="F753" s="4">
        <f>CHOOSE( CONTROL!$C$29, 24.5027, 24.4985) * CHOOSE(CONTROL!$C$12, $D$11, 100%, $F$11)</f>
        <v>24.502700000000001</v>
      </c>
      <c r="G753" s="8">
        <f>CHOOSE( CONTROL!$C$29, 22.9102, 22.906) * CHOOSE( CONTROL!$C$12, $D$11, 100%, $F$11)</f>
        <v>22.9102</v>
      </c>
      <c r="H753" s="4">
        <f>CHOOSE( CONTROL!$C$29, 23.8083, 23.8041) * CHOOSE(CONTROL!$C$12, $D$11, 100%, $F$11)</f>
        <v>23.808299999999999</v>
      </c>
      <c r="I753" s="8">
        <f>CHOOSE( CONTROL!$C$29, 22.5775, 22.5735) * CHOOSE(CONTROL!$C$12, $D$11, 100%, $F$11)</f>
        <v>22.577500000000001</v>
      </c>
      <c r="J753" s="4">
        <f>CHOOSE( CONTROL!$C$29, 22.5396, 22.5355) * CHOOSE(CONTROL!$C$12, $D$11, 100%, $F$11)</f>
        <v>22.5396</v>
      </c>
      <c r="K753" s="4"/>
      <c r="L753" s="9">
        <v>29.520499999999998</v>
      </c>
      <c r="M753" s="9">
        <v>12.063700000000001</v>
      </c>
      <c r="N753" s="9">
        <v>4.9444999999999997</v>
      </c>
      <c r="O753" s="9">
        <v>0.37459999999999999</v>
      </c>
      <c r="P753" s="9">
        <v>1.2192000000000001</v>
      </c>
      <c r="Q753" s="9">
        <v>19.688099999999999</v>
      </c>
      <c r="R753" s="9"/>
      <c r="S753" s="11"/>
    </row>
    <row r="754" spans="1:19" ht="15.75">
      <c r="A754" s="13">
        <v>64831</v>
      </c>
      <c r="B754" s="8">
        <f>CHOOSE( CONTROL!$C$29, 23.1497, 23.1454) * CHOOSE(CONTROL!$C$12, $D$11, 100%, $F$11)</f>
        <v>23.149699999999999</v>
      </c>
      <c r="C754" s="8">
        <f>CHOOSE( CONTROL!$C$29, 23.1601, 23.1559) * CHOOSE(CONTROL!$C$12, $D$11, 100%, $F$11)</f>
        <v>23.1601</v>
      </c>
      <c r="D754" s="8">
        <f>CHOOSE( CONTROL!$C$29, 23.1324, 23.1282) * CHOOSE( CONTROL!$C$12, $D$11, 100%, $F$11)</f>
        <v>23.132400000000001</v>
      </c>
      <c r="E754" s="12">
        <f>CHOOSE( CONTROL!$C$29, 23.1409, 23.1366) * CHOOSE( CONTROL!$C$12, $D$11, 100%, $F$11)</f>
        <v>23.140899999999998</v>
      </c>
      <c r="F754" s="4">
        <f>CHOOSE( CONTROL!$C$29, 24.1141, 24.1099) * CHOOSE(CONTROL!$C$12, $D$11, 100%, $F$11)</f>
        <v>24.114100000000001</v>
      </c>
      <c r="G754" s="8">
        <f>CHOOSE( CONTROL!$C$29, 22.5403, 22.5362) * CHOOSE( CONTROL!$C$12, $D$11, 100%, $F$11)</f>
        <v>22.540299999999998</v>
      </c>
      <c r="H754" s="4">
        <f>CHOOSE( CONTROL!$C$29, 23.4295, 23.4254) * CHOOSE(CONTROL!$C$12, $D$11, 100%, $F$11)</f>
        <v>23.429500000000001</v>
      </c>
      <c r="I754" s="8">
        <f>CHOOSE( CONTROL!$C$29, 22.2172, 22.2131) * CHOOSE(CONTROL!$C$12, $D$11, 100%, $F$11)</f>
        <v>22.217199999999998</v>
      </c>
      <c r="J754" s="4">
        <f>CHOOSE( CONTROL!$C$29, 22.1773, 22.1732) * CHOOSE(CONTROL!$C$12, $D$11, 100%, $F$11)</f>
        <v>22.177299999999999</v>
      </c>
      <c r="K754" s="4"/>
      <c r="L754" s="9">
        <v>28.568200000000001</v>
      </c>
      <c r="M754" s="9">
        <v>11.6745</v>
      </c>
      <c r="N754" s="9">
        <v>4.7850000000000001</v>
      </c>
      <c r="O754" s="9">
        <v>0.36249999999999999</v>
      </c>
      <c r="P754" s="9">
        <v>1.1798</v>
      </c>
      <c r="Q754" s="9">
        <v>19.053000000000001</v>
      </c>
      <c r="R754" s="9"/>
      <c r="S754" s="11"/>
    </row>
    <row r="755" spans="1:19" ht="15.75">
      <c r="A755" s="13">
        <v>64862</v>
      </c>
      <c r="B755" s="8">
        <f>CHOOSE( CONTROL!$C$29, 24.1454, 24.1412) * CHOOSE(CONTROL!$C$12, $D$11, 100%, $F$11)</f>
        <v>24.145399999999999</v>
      </c>
      <c r="C755" s="8">
        <f>CHOOSE( CONTROL!$C$29, 24.1558, 24.1516) * CHOOSE(CONTROL!$C$12, $D$11, 100%, $F$11)</f>
        <v>24.155799999999999</v>
      </c>
      <c r="D755" s="8">
        <f>CHOOSE( CONTROL!$C$29, 24.162, 24.1577) * CHOOSE( CONTROL!$C$12, $D$11, 100%, $F$11)</f>
        <v>24.161999999999999</v>
      </c>
      <c r="E755" s="12">
        <f>CHOOSE( CONTROL!$C$29, 24.1582, 24.1539) * CHOOSE( CONTROL!$C$12, $D$11, 100%, $F$11)</f>
        <v>24.158200000000001</v>
      </c>
      <c r="F755" s="4">
        <f>CHOOSE( CONTROL!$C$29, 25.1553, 25.151) * CHOOSE(CONTROL!$C$12, $D$11, 100%, $F$11)</f>
        <v>25.1553</v>
      </c>
      <c r="G755" s="8">
        <f>CHOOSE( CONTROL!$C$29, 23.537, 23.5329) * CHOOSE( CONTROL!$C$12, $D$11, 100%, $F$11)</f>
        <v>23.536999999999999</v>
      </c>
      <c r="H755" s="4">
        <f>CHOOSE( CONTROL!$C$29, 24.4444, 24.4403) * CHOOSE(CONTROL!$C$12, $D$11, 100%, $F$11)</f>
        <v>24.444400000000002</v>
      </c>
      <c r="I755" s="8">
        <f>CHOOSE( CONTROL!$C$29, 23.2271, 23.223) * CHOOSE(CONTROL!$C$12, $D$11, 100%, $F$11)</f>
        <v>23.2271</v>
      </c>
      <c r="J755" s="4">
        <f>CHOOSE( CONTROL!$C$29, 23.1314, 23.1273) * CHOOSE(CONTROL!$C$12, $D$11, 100%, $F$11)</f>
        <v>23.131399999999999</v>
      </c>
      <c r="K755" s="4"/>
      <c r="L755" s="9">
        <v>29.520499999999998</v>
      </c>
      <c r="M755" s="9">
        <v>12.063700000000001</v>
      </c>
      <c r="N755" s="9">
        <v>4.9444999999999997</v>
      </c>
      <c r="O755" s="9">
        <v>0.37459999999999999</v>
      </c>
      <c r="P755" s="9">
        <v>1.2192000000000001</v>
      </c>
      <c r="Q755" s="9">
        <v>19.688099999999999</v>
      </c>
      <c r="R755" s="9"/>
      <c r="S755" s="11"/>
    </row>
    <row r="756" spans="1:19" ht="15.75">
      <c r="A756" s="13">
        <v>64893</v>
      </c>
      <c r="B756" s="8">
        <f>CHOOSE( CONTROL!$C$29, 22.2823, 22.278) * CHOOSE(CONTROL!$C$12, $D$11, 100%, $F$11)</f>
        <v>22.282299999999999</v>
      </c>
      <c r="C756" s="8">
        <f>CHOOSE( CONTROL!$C$29, 22.2927, 22.2885) * CHOOSE(CONTROL!$C$12, $D$11, 100%, $F$11)</f>
        <v>22.2927</v>
      </c>
      <c r="D756" s="8">
        <f>CHOOSE( CONTROL!$C$29, 22.3153, 22.3111) * CHOOSE( CONTROL!$C$12, $D$11, 100%, $F$11)</f>
        <v>22.315300000000001</v>
      </c>
      <c r="E756" s="12">
        <f>CHOOSE( CONTROL!$C$29, 22.3055, 22.3013) * CHOOSE( CONTROL!$C$12, $D$11, 100%, $F$11)</f>
        <v>22.305499999999999</v>
      </c>
      <c r="F756" s="4">
        <f>CHOOSE( CONTROL!$C$29, 23.3208, 23.3166) * CHOOSE(CONTROL!$C$12, $D$11, 100%, $F$11)</f>
        <v>23.320799999999998</v>
      </c>
      <c r="G756" s="8">
        <f>CHOOSE( CONTROL!$C$29, 21.7265, 21.7223) * CHOOSE( CONTROL!$C$12, $D$11, 100%, $F$11)</f>
        <v>21.726500000000001</v>
      </c>
      <c r="H756" s="4">
        <f>CHOOSE( CONTROL!$C$29, 22.6562, 22.6521) * CHOOSE(CONTROL!$C$12, $D$11, 100%, $F$11)</f>
        <v>22.656199999999998</v>
      </c>
      <c r="I756" s="8">
        <f>CHOOSE( CONTROL!$C$29, 21.4324, 21.4283) * CHOOSE(CONTROL!$C$12, $D$11, 100%, $F$11)</f>
        <v>21.432400000000001</v>
      </c>
      <c r="J756" s="4">
        <f>CHOOSE( CONTROL!$C$29, 21.3461, 21.3421) * CHOOSE(CONTROL!$C$12, $D$11, 100%, $F$11)</f>
        <v>21.3461</v>
      </c>
      <c r="K756" s="4"/>
      <c r="L756" s="9">
        <v>29.520499999999998</v>
      </c>
      <c r="M756" s="9">
        <v>12.063700000000001</v>
      </c>
      <c r="N756" s="9">
        <v>4.9444999999999997</v>
      </c>
      <c r="O756" s="9">
        <v>0.37459999999999999</v>
      </c>
      <c r="P756" s="9">
        <v>1.2192000000000001</v>
      </c>
      <c r="Q756" s="9">
        <v>19.688099999999999</v>
      </c>
      <c r="R756" s="9"/>
      <c r="S756" s="11"/>
    </row>
    <row r="757" spans="1:19" ht="15.75">
      <c r="A757" s="13">
        <v>64923</v>
      </c>
      <c r="B757" s="8">
        <f>CHOOSE( CONTROL!$C$29, 21.8157, 21.8115) * CHOOSE(CONTROL!$C$12, $D$11, 100%, $F$11)</f>
        <v>21.8157</v>
      </c>
      <c r="C757" s="8">
        <f>CHOOSE( CONTROL!$C$29, 21.8262, 21.8219) * CHOOSE(CONTROL!$C$12, $D$11, 100%, $F$11)</f>
        <v>21.8262</v>
      </c>
      <c r="D757" s="8">
        <f>CHOOSE( CONTROL!$C$29, 21.8487, 21.8445) * CHOOSE( CONTROL!$C$12, $D$11, 100%, $F$11)</f>
        <v>21.848700000000001</v>
      </c>
      <c r="E757" s="12">
        <f>CHOOSE( CONTROL!$C$29, 21.8389, 21.8347) * CHOOSE( CONTROL!$C$12, $D$11, 100%, $F$11)</f>
        <v>21.838899999999999</v>
      </c>
      <c r="F757" s="4">
        <f>CHOOSE( CONTROL!$C$29, 22.8543, 22.85) * CHOOSE(CONTROL!$C$12, $D$11, 100%, $F$11)</f>
        <v>22.854299999999999</v>
      </c>
      <c r="G757" s="8">
        <f>CHOOSE( CONTROL!$C$29, 21.2714, 21.2672) * CHOOSE( CONTROL!$C$12, $D$11, 100%, $F$11)</f>
        <v>21.2714</v>
      </c>
      <c r="H757" s="4">
        <f>CHOOSE( CONTROL!$C$29, 22.2015, 22.1973) * CHOOSE(CONTROL!$C$12, $D$11, 100%, $F$11)</f>
        <v>22.201499999999999</v>
      </c>
      <c r="I757" s="8">
        <f>CHOOSE( CONTROL!$C$29, 20.9834, 20.9794) * CHOOSE(CONTROL!$C$12, $D$11, 100%, $F$11)</f>
        <v>20.9834</v>
      </c>
      <c r="J757" s="4">
        <f>CHOOSE( CONTROL!$C$29, 20.8991, 20.895) * CHOOSE(CONTROL!$C$12, $D$11, 100%, $F$11)</f>
        <v>20.899100000000001</v>
      </c>
      <c r="K757" s="4"/>
      <c r="L757" s="9">
        <v>28.568200000000001</v>
      </c>
      <c r="M757" s="9">
        <v>11.6745</v>
      </c>
      <c r="N757" s="9">
        <v>4.7850000000000001</v>
      </c>
      <c r="O757" s="9">
        <v>0.36249999999999999</v>
      </c>
      <c r="P757" s="9">
        <v>1.1798</v>
      </c>
      <c r="Q757" s="9">
        <v>19.053000000000001</v>
      </c>
      <c r="R757" s="9"/>
      <c r="S757" s="11"/>
    </row>
    <row r="758" spans="1:19" ht="15.75">
      <c r="A758" s="13">
        <v>64954</v>
      </c>
      <c r="B758" s="8">
        <f>22.7802 * CHOOSE(CONTROL!$C$12, $D$11, 100%, $F$11)</f>
        <v>22.780200000000001</v>
      </c>
      <c r="C758" s="8">
        <f>22.7906 * CHOOSE(CONTROL!$C$12, $D$11, 100%, $F$11)</f>
        <v>22.790600000000001</v>
      </c>
      <c r="D758" s="8">
        <f>22.7951 * CHOOSE( CONTROL!$C$12, $D$11, 100%, $F$11)</f>
        <v>22.795100000000001</v>
      </c>
      <c r="E758" s="12">
        <f>22.7925 * CHOOSE( CONTROL!$C$12, $D$11, 100%, $F$11)</f>
        <v>22.7925</v>
      </c>
      <c r="F758" s="4">
        <f>23.7875 * CHOOSE(CONTROL!$C$12, $D$11, 100%, $F$11)</f>
        <v>23.787500000000001</v>
      </c>
      <c r="G758" s="8">
        <f>22.2018 * CHOOSE( CONTROL!$C$12, $D$11, 100%, $F$11)</f>
        <v>22.201799999999999</v>
      </c>
      <c r="H758" s="4">
        <f>23.1111 * CHOOSE(CONTROL!$C$12, $D$11, 100%, $F$11)</f>
        <v>23.1111</v>
      </c>
      <c r="I758" s="8">
        <f>21.9047 * CHOOSE(CONTROL!$C$12, $D$11, 100%, $F$11)</f>
        <v>21.904699999999998</v>
      </c>
      <c r="J758" s="4">
        <f>21.8232 * CHOOSE(CONTROL!$C$12, $D$11, 100%, $F$11)</f>
        <v>21.8232</v>
      </c>
      <c r="K758" s="4"/>
      <c r="L758" s="9">
        <v>28.921800000000001</v>
      </c>
      <c r="M758" s="9">
        <v>12.063700000000001</v>
      </c>
      <c r="N758" s="9">
        <v>4.9444999999999997</v>
      </c>
      <c r="O758" s="9">
        <v>0.37459999999999999</v>
      </c>
      <c r="P758" s="9">
        <v>1.2192000000000001</v>
      </c>
      <c r="Q758" s="9">
        <v>19.688099999999999</v>
      </c>
      <c r="R758" s="9"/>
      <c r="S758" s="11"/>
    </row>
    <row r="759" spans="1:19" ht="15.75">
      <c r="A759" s="13">
        <v>64984</v>
      </c>
      <c r="B759" s="8">
        <f>24.5683 * CHOOSE(CONTROL!$C$12, $D$11, 100%, $F$11)</f>
        <v>24.568300000000001</v>
      </c>
      <c r="C759" s="8">
        <f>24.5787 * CHOOSE(CONTROL!$C$12, $D$11, 100%, $F$11)</f>
        <v>24.578700000000001</v>
      </c>
      <c r="D759" s="8">
        <f>24.5611 * CHOOSE( CONTROL!$C$12, $D$11, 100%, $F$11)</f>
        <v>24.5611</v>
      </c>
      <c r="E759" s="12">
        <f>24.5664 * CHOOSE( CONTROL!$C$12, $D$11, 100%, $F$11)</f>
        <v>24.566400000000002</v>
      </c>
      <c r="F759" s="4">
        <f>25.5625 * CHOOSE(CONTROL!$C$12, $D$11, 100%, $F$11)</f>
        <v>25.5625</v>
      </c>
      <c r="G759" s="8">
        <f>23.9572 * CHOOSE( CONTROL!$C$12, $D$11, 100%, $F$11)</f>
        <v>23.9572</v>
      </c>
      <c r="H759" s="4">
        <f>24.8413 * CHOOSE(CONTROL!$C$12, $D$11, 100%, $F$11)</f>
        <v>24.8413</v>
      </c>
      <c r="I759" s="8">
        <f>23.6423 * CHOOSE(CONTROL!$C$12, $D$11, 100%, $F$11)</f>
        <v>23.642299999999999</v>
      </c>
      <c r="J759" s="4">
        <f>23.5366 * CHOOSE(CONTROL!$C$12, $D$11, 100%, $F$11)</f>
        <v>23.5366</v>
      </c>
      <c r="K759" s="4"/>
      <c r="L759" s="9">
        <v>26.515499999999999</v>
      </c>
      <c r="M759" s="9">
        <v>11.6745</v>
      </c>
      <c r="N759" s="9">
        <v>4.7850000000000001</v>
      </c>
      <c r="O759" s="9">
        <v>0.36249999999999999</v>
      </c>
      <c r="P759" s="9">
        <v>1.2522</v>
      </c>
      <c r="Q759" s="9">
        <v>19.053000000000001</v>
      </c>
      <c r="R759" s="9"/>
      <c r="S759" s="11"/>
    </row>
    <row r="760" spans="1:19" ht="15.75">
      <c r="A760" s="13">
        <v>65015</v>
      </c>
      <c r="B760" s="8">
        <f>24.5236 * CHOOSE(CONTROL!$C$12, $D$11, 100%, $F$11)</f>
        <v>24.523599999999998</v>
      </c>
      <c r="C760" s="8">
        <f>24.534 * CHOOSE(CONTROL!$C$12, $D$11, 100%, $F$11)</f>
        <v>24.533999999999999</v>
      </c>
      <c r="D760" s="8">
        <f>24.5184 * CHOOSE( CONTROL!$C$12, $D$11, 100%, $F$11)</f>
        <v>24.5184</v>
      </c>
      <c r="E760" s="12">
        <f>24.523 * CHOOSE( CONTROL!$C$12, $D$11, 100%, $F$11)</f>
        <v>24.523</v>
      </c>
      <c r="F760" s="4">
        <f>25.5178 * CHOOSE(CONTROL!$C$12, $D$11, 100%, $F$11)</f>
        <v>25.517800000000001</v>
      </c>
      <c r="G760" s="8">
        <f>23.9152 * CHOOSE( CONTROL!$C$12, $D$11, 100%, $F$11)</f>
        <v>23.915199999999999</v>
      </c>
      <c r="H760" s="4">
        <f>24.7978 * CHOOSE(CONTROL!$C$12, $D$11, 100%, $F$11)</f>
        <v>24.797799999999999</v>
      </c>
      <c r="I760" s="8">
        <f>23.6067 * CHOOSE(CONTROL!$C$12, $D$11, 100%, $F$11)</f>
        <v>23.6067</v>
      </c>
      <c r="J760" s="4">
        <f>23.4937 * CHOOSE(CONTROL!$C$12, $D$11, 100%, $F$11)</f>
        <v>23.4937</v>
      </c>
      <c r="K760" s="4"/>
      <c r="L760" s="9">
        <v>27.3993</v>
      </c>
      <c r="M760" s="9">
        <v>12.063700000000001</v>
      </c>
      <c r="N760" s="9">
        <v>4.9444999999999997</v>
      </c>
      <c r="O760" s="9">
        <v>0.37459999999999999</v>
      </c>
      <c r="P760" s="9">
        <v>1.2939000000000001</v>
      </c>
      <c r="Q760" s="9">
        <v>19.688099999999999</v>
      </c>
      <c r="R760" s="9"/>
      <c r="S760" s="11"/>
    </row>
    <row r="761" spans="1:19" ht="15.75">
      <c r="A761" s="13">
        <v>65046</v>
      </c>
      <c r="B761" s="8">
        <f>25.4607 * CHOOSE(CONTROL!$C$12, $D$11, 100%, $F$11)</f>
        <v>25.460699999999999</v>
      </c>
      <c r="C761" s="8">
        <f>25.4711 * CHOOSE(CONTROL!$C$12, $D$11, 100%, $F$11)</f>
        <v>25.4711</v>
      </c>
      <c r="D761" s="8">
        <f>25.4688 * CHOOSE( CONTROL!$C$12, $D$11, 100%, $F$11)</f>
        <v>25.468800000000002</v>
      </c>
      <c r="E761" s="12">
        <f>25.4685 * CHOOSE( CONTROL!$C$12, $D$11, 100%, $F$11)</f>
        <v>25.468499999999999</v>
      </c>
      <c r="F761" s="4">
        <f>26.4836 * CHOOSE(CONTROL!$C$12, $D$11, 100%, $F$11)</f>
        <v>26.483599999999999</v>
      </c>
      <c r="G761" s="8">
        <f>24.8458 * CHOOSE( CONTROL!$C$12, $D$11, 100%, $F$11)</f>
        <v>24.845800000000001</v>
      </c>
      <c r="H761" s="4">
        <f>25.7392 * CHOOSE(CONTROL!$C$12, $D$11, 100%, $F$11)</f>
        <v>25.7392</v>
      </c>
      <c r="I761" s="8">
        <f>24.5125 * CHOOSE(CONTROL!$C$12, $D$11, 100%, $F$11)</f>
        <v>24.512499999999999</v>
      </c>
      <c r="J761" s="4">
        <f>24.3917 * CHOOSE(CONTROL!$C$12, $D$11, 100%, $F$11)</f>
        <v>24.3917</v>
      </c>
      <c r="K761" s="4"/>
      <c r="L761" s="9">
        <v>27.3993</v>
      </c>
      <c r="M761" s="9">
        <v>12.063700000000001</v>
      </c>
      <c r="N761" s="9">
        <v>4.9444999999999997</v>
      </c>
      <c r="O761" s="9">
        <v>0.37459999999999999</v>
      </c>
      <c r="P761" s="9">
        <v>1.2939000000000001</v>
      </c>
      <c r="Q761" s="9">
        <v>19.688099999999999</v>
      </c>
      <c r="R761" s="9"/>
      <c r="S761" s="11"/>
    </row>
    <row r="762" spans="1:19" ht="15.75">
      <c r="A762" s="13">
        <v>65074</v>
      </c>
      <c r="B762" s="8">
        <f>23.815 * CHOOSE(CONTROL!$C$12, $D$11, 100%, $F$11)</f>
        <v>23.815000000000001</v>
      </c>
      <c r="C762" s="8">
        <f>23.8254 * CHOOSE(CONTROL!$C$12, $D$11, 100%, $F$11)</f>
        <v>23.825399999999998</v>
      </c>
      <c r="D762" s="8">
        <f>23.8254 * CHOOSE( CONTROL!$C$12, $D$11, 100%, $F$11)</f>
        <v>23.825399999999998</v>
      </c>
      <c r="E762" s="12">
        <f>23.8243 * CHOOSE( CONTROL!$C$12, $D$11, 100%, $F$11)</f>
        <v>23.824300000000001</v>
      </c>
      <c r="F762" s="4">
        <f>24.8301 * CHOOSE(CONTROL!$C$12, $D$11, 100%, $F$11)</f>
        <v>24.830100000000002</v>
      </c>
      <c r="G762" s="8">
        <f>23.2415 * CHOOSE( CONTROL!$C$12, $D$11, 100%, $F$11)</f>
        <v>23.241499999999998</v>
      </c>
      <c r="H762" s="4">
        <f>24.1274 * CHOOSE(CONTROL!$C$12, $D$11, 100%, $F$11)</f>
        <v>24.127400000000002</v>
      </c>
      <c r="I762" s="8">
        <f>22.9238 * CHOOSE(CONTROL!$C$12, $D$11, 100%, $F$11)</f>
        <v>22.9238</v>
      </c>
      <c r="J762" s="4">
        <f>22.8148 * CHOOSE(CONTROL!$C$12, $D$11, 100%, $F$11)</f>
        <v>22.814800000000002</v>
      </c>
      <c r="K762" s="4"/>
      <c r="L762" s="9">
        <v>24.747800000000002</v>
      </c>
      <c r="M762" s="9">
        <v>10.8962</v>
      </c>
      <c r="N762" s="9">
        <v>4.4660000000000002</v>
      </c>
      <c r="O762" s="9">
        <v>0.33829999999999999</v>
      </c>
      <c r="P762" s="9">
        <v>1.1687000000000001</v>
      </c>
      <c r="Q762" s="9">
        <v>17.782800000000002</v>
      </c>
      <c r="R762" s="9"/>
      <c r="S762" s="11"/>
    </row>
    <row r="763" spans="1:19" ht="15.75">
      <c r="A763" s="13">
        <v>65105</v>
      </c>
      <c r="B763" s="8">
        <f>23.3081 * CHOOSE(CONTROL!$C$12, $D$11, 100%, $F$11)</f>
        <v>23.3081</v>
      </c>
      <c r="C763" s="8">
        <f>23.3186 * CHOOSE(CONTROL!$C$12, $D$11, 100%, $F$11)</f>
        <v>23.3186</v>
      </c>
      <c r="D763" s="8">
        <f>23.2984 * CHOOSE( CONTROL!$C$12, $D$11, 100%, $F$11)</f>
        <v>23.298400000000001</v>
      </c>
      <c r="E763" s="12">
        <f>23.3047 * CHOOSE( CONTROL!$C$12, $D$11, 100%, $F$11)</f>
        <v>23.3047</v>
      </c>
      <c r="F763" s="4">
        <f>24.3071 * CHOOSE(CONTROL!$C$12, $D$11, 100%, $F$11)</f>
        <v>24.307099999999998</v>
      </c>
      <c r="G763" s="8">
        <f>22.727 * CHOOSE( CONTROL!$C$12, $D$11, 100%, $F$11)</f>
        <v>22.727</v>
      </c>
      <c r="H763" s="4">
        <f>23.6176 * CHOOSE(CONTROL!$C$12, $D$11, 100%, $F$11)</f>
        <v>23.617599999999999</v>
      </c>
      <c r="I763" s="8">
        <f>22.3984 * CHOOSE(CONTROL!$C$12, $D$11, 100%, $F$11)</f>
        <v>22.398399999999999</v>
      </c>
      <c r="J763" s="4">
        <f>22.3291 * CHOOSE(CONTROL!$C$12, $D$11, 100%, $F$11)</f>
        <v>22.3291</v>
      </c>
      <c r="K763" s="4"/>
      <c r="L763" s="9">
        <v>27.3993</v>
      </c>
      <c r="M763" s="9">
        <v>12.063700000000001</v>
      </c>
      <c r="N763" s="9">
        <v>4.9444999999999997</v>
      </c>
      <c r="O763" s="9">
        <v>0.37459999999999999</v>
      </c>
      <c r="P763" s="9">
        <v>1.2939000000000001</v>
      </c>
      <c r="Q763" s="9">
        <v>19.688099999999999</v>
      </c>
      <c r="R763" s="9"/>
      <c r="S763" s="11"/>
    </row>
    <row r="764" spans="1:19" ht="15.75">
      <c r="A764" s="13">
        <v>65135</v>
      </c>
      <c r="B764" s="8">
        <f>23.6623 * CHOOSE(CONTROL!$C$12, $D$11, 100%, $F$11)</f>
        <v>23.662299999999998</v>
      </c>
      <c r="C764" s="8">
        <f>23.6728 * CHOOSE(CONTROL!$C$12, $D$11, 100%, $F$11)</f>
        <v>23.672799999999999</v>
      </c>
      <c r="D764" s="8">
        <f>23.676 * CHOOSE( CONTROL!$C$12, $D$11, 100%, $F$11)</f>
        <v>23.675999999999998</v>
      </c>
      <c r="E764" s="12">
        <f>23.6737 * CHOOSE( CONTROL!$C$12, $D$11, 100%, $F$11)</f>
        <v>23.6737</v>
      </c>
      <c r="F764" s="4">
        <f>24.6696 * CHOOSE(CONTROL!$C$12, $D$11, 100%, $F$11)</f>
        <v>24.669599999999999</v>
      </c>
      <c r="G764" s="8">
        <f>23.0601 * CHOOSE( CONTROL!$C$12, $D$11, 100%, $F$11)</f>
        <v>23.060099999999998</v>
      </c>
      <c r="H764" s="4">
        <f>23.971 * CHOOSE(CONTROL!$C$12, $D$11, 100%, $F$11)</f>
        <v>23.971</v>
      </c>
      <c r="I764" s="8">
        <f>22.7281 * CHOOSE(CONTROL!$C$12, $D$11, 100%, $F$11)</f>
        <v>22.728100000000001</v>
      </c>
      <c r="J764" s="4">
        <f>22.6685 * CHOOSE(CONTROL!$C$12, $D$11, 100%, $F$11)</f>
        <v>22.668500000000002</v>
      </c>
      <c r="K764" s="4"/>
      <c r="L764" s="9">
        <v>27.988800000000001</v>
      </c>
      <c r="M764" s="9">
        <v>11.6745</v>
      </c>
      <c r="N764" s="9">
        <v>4.7850000000000001</v>
      </c>
      <c r="O764" s="9">
        <v>0.36249999999999999</v>
      </c>
      <c r="P764" s="9">
        <v>1.1798</v>
      </c>
      <c r="Q764" s="9">
        <v>19.053000000000001</v>
      </c>
      <c r="R764" s="9"/>
      <c r="S764" s="11"/>
    </row>
    <row r="765" spans="1:19" ht="15.75">
      <c r="A765" s="13">
        <v>65166</v>
      </c>
      <c r="B765" s="8">
        <f>CHOOSE( CONTROL!$C$29, 24.2969, 24.2927) * CHOOSE(CONTROL!$C$12, $D$11, 100%, $F$11)</f>
        <v>24.296900000000001</v>
      </c>
      <c r="C765" s="8">
        <f>CHOOSE( CONTROL!$C$29, 24.3074, 24.3031) * CHOOSE(CONTROL!$C$12, $D$11, 100%, $F$11)</f>
        <v>24.307400000000001</v>
      </c>
      <c r="D765" s="8">
        <f>CHOOSE( CONTROL!$C$29, 24.2853, 24.281) * CHOOSE( CONTROL!$C$12, $D$11, 100%, $F$11)</f>
        <v>24.285299999999999</v>
      </c>
      <c r="E765" s="12">
        <f>CHOOSE( CONTROL!$C$29, 24.2917, 24.2874) * CHOOSE( CONTROL!$C$12, $D$11, 100%, $F$11)</f>
        <v>24.291699999999999</v>
      </c>
      <c r="F765" s="4">
        <f>CHOOSE( CONTROL!$C$29, 25.2718, 25.2676) * CHOOSE(CONTROL!$C$12, $D$11, 100%, $F$11)</f>
        <v>25.271799999999999</v>
      </c>
      <c r="G765" s="8">
        <f>CHOOSE( CONTROL!$C$29, 23.6599, 23.6558) * CHOOSE( CONTROL!$C$12, $D$11, 100%, $F$11)</f>
        <v>23.6599</v>
      </c>
      <c r="H765" s="4">
        <f>CHOOSE( CONTROL!$C$29, 24.558, 24.5539) * CHOOSE(CONTROL!$C$12, $D$11, 100%, $F$11)</f>
        <v>24.558</v>
      </c>
      <c r="I765" s="8">
        <f>CHOOSE( CONTROL!$C$29, 23.3149, 23.3108) * CHOOSE(CONTROL!$C$12, $D$11, 100%, $F$11)</f>
        <v>23.314900000000002</v>
      </c>
      <c r="J765" s="4">
        <f>CHOOSE( CONTROL!$C$29, 23.2766, 23.2725) * CHOOSE(CONTROL!$C$12, $D$11, 100%, $F$11)</f>
        <v>23.276599999999998</v>
      </c>
      <c r="K765" s="4"/>
      <c r="L765" s="9">
        <v>29.520499999999998</v>
      </c>
      <c r="M765" s="9">
        <v>12.063700000000001</v>
      </c>
      <c r="N765" s="9">
        <v>4.9444999999999997</v>
      </c>
      <c r="O765" s="9">
        <v>0.37459999999999999</v>
      </c>
      <c r="P765" s="9">
        <v>1.2192000000000001</v>
      </c>
      <c r="Q765" s="9">
        <v>19.688099999999999</v>
      </c>
      <c r="R765" s="9"/>
      <c r="S765" s="11"/>
    </row>
    <row r="766" spans="1:19" ht="15.75">
      <c r="A766" s="13">
        <v>65196</v>
      </c>
      <c r="B766" s="8">
        <f>CHOOSE( CONTROL!$C$29, 23.9064, 23.9022) * CHOOSE(CONTROL!$C$12, $D$11, 100%, $F$11)</f>
        <v>23.906400000000001</v>
      </c>
      <c r="C766" s="8">
        <f>CHOOSE( CONTROL!$C$29, 23.9169, 23.9126) * CHOOSE(CONTROL!$C$12, $D$11, 100%, $F$11)</f>
        <v>23.916899999999998</v>
      </c>
      <c r="D766" s="8">
        <f>CHOOSE( CONTROL!$C$29, 23.8892, 23.885) * CHOOSE( CONTROL!$C$12, $D$11, 100%, $F$11)</f>
        <v>23.889199999999999</v>
      </c>
      <c r="E766" s="12">
        <f>CHOOSE( CONTROL!$C$29, 23.8976, 23.8934) * CHOOSE( CONTROL!$C$12, $D$11, 100%, $F$11)</f>
        <v>23.897600000000001</v>
      </c>
      <c r="F766" s="4">
        <f>CHOOSE( CONTROL!$C$29, 24.8709, 24.8667) * CHOOSE(CONTROL!$C$12, $D$11, 100%, $F$11)</f>
        <v>24.870899999999999</v>
      </c>
      <c r="G766" s="8">
        <f>CHOOSE( CONTROL!$C$29, 23.278, 23.2739) * CHOOSE( CONTROL!$C$12, $D$11, 100%, $F$11)</f>
        <v>23.277999999999999</v>
      </c>
      <c r="H766" s="4">
        <f>CHOOSE( CONTROL!$C$29, 24.1672, 24.1631) * CHOOSE(CONTROL!$C$12, $D$11, 100%, $F$11)</f>
        <v>24.167200000000001</v>
      </c>
      <c r="I766" s="8">
        <f>CHOOSE( CONTROL!$C$29, 22.9427, 22.9387) * CHOOSE(CONTROL!$C$12, $D$11, 100%, $F$11)</f>
        <v>22.942699999999999</v>
      </c>
      <c r="J766" s="4">
        <f>CHOOSE( CONTROL!$C$29, 22.9024, 22.8983) * CHOOSE(CONTROL!$C$12, $D$11, 100%, $F$11)</f>
        <v>22.9024</v>
      </c>
      <c r="K766" s="4"/>
      <c r="L766" s="9">
        <v>28.568200000000001</v>
      </c>
      <c r="M766" s="9">
        <v>11.6745</v>
      </c>
      <c r="N766" s="9">
        <v>4.7850000000000001</v>
      </c>
      <c r="O766" s="9">
        <v>0.36249999999999999</v>
      </c>
      <c r="P766" s="9">
        <v>1.1798</v>
      </c>
      <c r="Q766" s="9">
        <v>19.053000000000001</v>
      </c>
      <c r="R766" s="9"/>
      <c r="S766" s="11"/>
    </row>
    <row r="767" spans="1:19" ht="15.75">
      <c r="A767" s="13">
        <v>65227</v>
      </c>
      <c r="B767" s="8">
        <f>CHOOSE( CONTROL!$C$29, 24.9348, 24.9305) * CHOOSE(CONTROL!$C$12, $D$11, 100%, $F$11)</f>
        <v>24.934799999999999</v>
      </c>
      <c r="C767" s="8">
        <f>CHOOSE( CONTROL!$C$29, 24.9452, 24.9409) * CHOOSE(CONTROL!$C$12, $D$11, 100%, $F$11)</f>
        <v>24.9452</v>
      </c>
      <c r="D767" s="8">
        <f>CHOOSE( CONTROL!$C$29, 24.9513, 24.9471) * CHOOSE( CONTROL!$C$12, $D$11, 100%, $F$11)</f>
        <v>24.9513</v>
      </c>
      <c r="E767" s="12">
        <f>CHOOSE( CONTROL!$C$29, 24.9475, 24.9433) * CHOOSE( CONTROL!$C$12, $D$11, 100%, $F$11)</f>
        <v>24.947500000000002</v>
      </c>
      <c r="F767" s="4">
        <f>CHOOSE( CONTROL!$C$29, 25.9446, 25.9404) * CHOOSE(CONTROL!$C$12, $D$11, 100%, $F$11)</f>
        <v>25.944600000000001</v>
      </c>
      <c r="G767" s="8">
        <f>CHOOSE( CONTROL!$C$29, 24.3064, 24.3023) * CHOOSE( CONTROL!$C$12, $D$11, 100%, $F$11)</f>
        <v>24.3064</v>
      </c>
      <c r="H767" s="4">
        <f>CHOOSE( CONTROL!$C$29, 25.2138, 25.2097) * CHOOSE(CONTROL!$C$12, $D$11, 100%, $F$11)</f>
        <v>25.213799999999999</v>
      </c>
      <c r="I767" s="8">
        <f>CHOOSE( CONTROL!$C$29, 23.9838, 23.9798) * CHOOSE(CONTROL!$C$12, $D$11, 100%, $F$11)</f>
        <v>23.983799999999999</v>
      </c>
      <c r="J767" s="4">
        <f>CHOOSE( CONTROL!$C$29, 23.8877, 23.8837) * CHOOSE(CONTROL!$C$12, $D$11, 100%, $F$11)</f>
        <v>23.887699999999999</v>
      </c>
      <c r="K767" s="4"/>
      <c r="L767" s="9">
        <v>29.520499999999998</v>
      </c>
      <c r="M767" s="9">
        <v>12.063700000000001</v>
      </c>
      <c r="N767" s="9">
        <v>4.9444999999999997</v>
      </c>
      <c r="O767" s="9">
        <v>0.37459999999999999</v>
      </c>
      <c r="P767" s="9">
        <v>1.2192000000000001</v>
      </c>
      <c r="Q767" s="9">
        <v>19.688099999999999</v>
      </c>
      <c r="R767" s="9"/>
      <c r="S767" s="11"/>
    </row>
    <row r="768" spans="1:19" ht="15.75">
      <c r="A768" s="13">
        <v>65258</v>
      </c>
      <c r="B768" s="8">
        <f>CHOOSE( CONTROL!$C$29, 23.0107, 23.0064) * CHOOSE(CONTROL!$C$12, $D$11, 100%, $F$11)</f>
        <v>23.0107</v>
      </c>
      <c r="C768" s="8">
        <f>CHOOSE( CONTROL!$C$29, 23.0211, 23.0169) * CHOOSE(CONTROL!$C$12, $D$11, 100%, $F$11)</f>
        <v>23.021100000000001</v>
      </c>
      <c r="D768" s="8">
        <f>CHOOSE( CONTROL!$C$29, 23.0437, 23.0395) * CHOOSE( CONTROL!$C$12, $D$11, 100%, $F$11)</f>
        <v>23.043700000000001</v>
      </c>
      <c r="E768" s="12">
        <f>CHOOSE( CONTROL!$C$29, 23.0339, 23.0297) * CHOOSE( CONTROL!$C$12, $D$11, 100%, $F$11)</f>
        <v>23.033899999999999</v>
      </c>
      <c r="F768" s="4">
        <f>CHOOSE( CONTROL!$C$29, 24.0492, 24.045) * CHOOSE(CONTROL!$C$12, $D$11, 100%, $F$11)</f>
        <v>24.049199999999999</v>
      </c>
      <c r="G768" s="8">
        <f>CHOOSE( CONTROL!$C$29, 22.4365, 22.4324) * CHOOSE( CONTROL!$C$12, $D$11, 100%, $F$11)</f>
        <v>22.436499999999999</v>
      </c>
      <c r="H768" s="4">
        <f>CHOOSE( CONTROL!$C$29, 23.3663, 23.3621) * CHOOSE(CONTROL!$C$12, $D$11, 100%, $F$11)</f>
        <v>23.366299999999999</v>
      </c>
      <c r="I768" s="8">
        <f>CHOOSE( CONTROL!$C$29, 22.1307, 22.1267) * CHOOSE(CONTROL!$C$12, $D$11, 100%, $F$11)</f>
        <v>22.130700000000001</v>
      </c>
      <c r="J768" s="4">
        <f>CHOOSE( CONTROL!$C$29, 22.0441, 22.04) * CHOOSE(CONTROL!$C$12, $D$11, 100%, $F$11)</f>
        <v>22.0441</v>
      </c>
      <c r="K768" s="4"/>
      <c r="L768" s="9">
        <v>29.520499999999998</v>
      </c>
      <c r="M768" s="9">
        <v>12.063700000000001</v>
      </c>
      <c r="N768" s="9">
        <v>4.9444999999999997</v>
      </c>
      <c r="O768" s="9">
        <v>0.37459999999999999</v>
      </c>
      <c r="P768" s="9">
        <v>1.2192000000000001</v>
      </c>
      <c r="Q768" s="9">
        <v>19.688099999999999</v>
      </c>
      <c r="R768" s="9"/>
      <c r="S768" s="11"/>
    </row>
    <row r="769" spans="1:19" ht="15.75">
      <c r="A769" s="13">
        <v>65288</v>
      </c>
      <c r="B769" s="8">
        <f>CHOOSE( CONTROL!$C$29, 22.5289, 22.5246) * CHOOSE(CONTROL!$C$12, $D$11, 100%, $F$11)</f>
        <v>22.5289</v>
      </c>
      <c r="C769" s="8">
        <f>CHOOSE( CONTROL!$C$29, 22.5393, 22.5351) * CHOOSE(CONTROL!$C$12, $D$11, 100%, $F$11)</f>
        <v>22.539300000000001</v>
      </c>
      <c r="D769" s="8">
        <f>CHOOSE( CONTROL!$C$29, 22.5619, 22.5576) * CHOOSE( CONTROL!$C$12, $D$11, 100%, $F$11)</f>
        <v>22.561900000000001</v>
      </c>
      <c r="E769" s="12">
        <f>CHOOSE( CONTROL!$C$29, 22.5521, 22.5478) * CHOOSE( CONTROL!$C$12, $D$11, 100%, $F$11)</f>
        <v>22.552099999999999</v>
      </c>
      <c r="F769" s="4">
        <f>CHOOSE( CONTROL!$C$29, 23.5674, 23.5632) * CHOOSE(CONTROL!$C$12, $D$11, 100%, $F$11)</f>
        <v>23.567399999999999</v>
      </c>
      <c r="G769" s="8">
        <f>CHOOSE( CONTROL!$C$29, 21.9665, 21.9624) * CHOOSE( CONTROL!$C$12, $D$11, 100%, $F$11)</f>
        <v>21.9665</v>
      </c>
      <c r="H769" s="4">
        <f>CHOOSE( CONTROL!$C$29, 22.8966, 22.8925) * CHOOSE(CONTROL!$C$12, $D$11, 100%, $F$11)</f>
        <v>22.896599999999999</v>
      </c>
      <c r="I769" s="8">
        <f>CHOOSE( CONTROL!$C$29, 21.6671, 21.663) * CHOOSE(CONTROL!$C$12, $D$11, 100%, $F$11)</f>
        <v>21.667100000000001</v>
      </c>
      <c r="J769" s="4">
        <f>CHOOSE( CONTROL!$C$29, 21.5824, 21.5783) * CHOOSE(CONTROL!$C$12, $D$11, 100%, $F$11)</f>
        <v>21.5824</v>
      </c>
      <c r="K769" s="4"/>
      <c r="L769" s="9">
        <v>28.568200000000001</v>
      </c>
      <c r="M769" s="9">
        <v>11.6745</v>
      </c>
      <c r="N769" s="9">
        <v>4.7850000000000001</v>
      </c>
      <c r="O769" s="9">
        <v>0.36249999999999999</v>
      </c>
      <c r="P769" s="9">
        <v>1.1798</v>
      </c>
      <c r="Q769" s="9">
        <v>19.053000000000001</v>
      </c>
      <c r="R769" s="9"/>
      <c r="S769" s="11"/>
    </row>
    <row r="770" spans="1:19" ht="15.75">
      <c r="A770" s="13">
        <v>65319</v>
      </c>
      <c r="B770" s="8">
        <f>23.525 * CHOOSE(CONTROL!$C$12, $D$11, 100%, $F$11)</f>
        <v>23.524999999999999</v>
      </c>
      <c r="C770" s="8">
        <f>23.5355 * CHOOSE(CONTROL!$C$12, $D$11, 100%, $F$11)</f>
        <v>23.535499999999999</v>
      </c>
      <c r="D770" s="8">
        <f>23.5399 * CHOOSE( CONTROL!$C$12, $D$11, 100%, $F$11)</f>
        <v>23.539899999999999</v>
      </c>
      <c r="E770" s="12">
        <f>23.5373 * CHOOSE( CONTROL!$C$12, $D$11, 100%, $F$11)</f>
        <v>23.537299999999998</v>
      </c>
      <c r="F770" s="4">
        <f>24.5323 * CHOOSE(CONTROL!$C$12, $D$11, 100%, $F$11)</f>
        <v>24.532299999999999</v>
      </c>
      <c r="G770" s="8">
        <f>22.9278 * CHOOSE( CONTROL!$C$12, $D$11, 100%, $F$11)</f>
        <v>22.927800000000001</v>
      </c>
      <c r="H770" s="4">
        <f>23.8371 * CHOOSE(CONTROL!$C$12, $D$11, 100%, $F$11)</f>
        <v>23.8371</v>
      </c>
      <c r="I770" s="8">
        <f>22.6187 * CHOOSE(CONTROL!$C$12, $D$11, 100%, $F$11)</f>
        <v>22.6187</v>
      </c>
      <c r="J770" s="4">
        <f>22.5369 * CHOOSE(CONTROL!$C$12, $D$11, 100%, $F$11)</f>
        <v>22.536899999999999</v>
      </c>
      <c r="K770" s="4"/>
      <c r="L770" s="9">
        <v>28.921800000000001</v>
      </c>
      <c r="M770" s="9">
        <v>12.063700000000001</v>
      </c>
      <c r="N770" s="9">
        <v>4.9444999999999997</v>
      </c>
      <c r="O770" s="9">
        <v>0.37459999999999999</v>
      </c>
      <c r="P770" s="9">
        <v>1.2192000000000001</v>
      </c>
      <c r="Q770" s="9">
        <v>19.688099999999999</v>
      </c>
      <c r="R770" s="9"/>
      <c r="S770" s="11"/>
    </row>
    <row r="771" spans="1:19" ht="15.75">
      <c r="A771" s="13">
        <v>65349</v>
      </c>
      <c r="B771" s="8">
        <f>25.3716 * CHOOSE(CONTROL!$C$12, $D$11, 100%, $F$11)</f>
        <v>25.371600000000001</v>
      </c>
      <c r="C771" s="8">
        <f>25.382 * CHOOSE(CONTROL!$C$12, $D$11, 100%, $F$11)</f>
        <v>25.382000000000001</v>
      </c>
      <c r="D771" s="8">
        <f>25.3644 * CHOOSE( CONTROL!$C$12, $D$11, 100%, $F$11)</f>
        <v>25.3644</v>
      </c>
      <c r="E771" s="12">
        <f>25.3697 * CHOOSE( CONTROL!$C$12, $D$11, 100%, $F$11)</f>
        <v>25.369700000000002</v>
      </c>
      <c r="F771" s="4">
        <f>26.3658 * CHOOSE(CONTROL!$C$12, $D$11, 100%, $F$11)</f>
        <v>26.3658</v>
      </c>
      <c r="G771" s="8">
        <f>24.7403 * CHOOSE( CONTROL!$C$12, $D$11, 100%, $F$11)</f>
        <v>24.740300000000001</v>
      </c>
      <c r="H771" s="4">
        <f>25.6244 * CHOOSE(CONTROL!$C$12, $D$11, 100%, $F$11)</f>
        <v>25.624400000000001</v>
      </c>
      <c r="I771" s="8">
        <f>24.4124 * CHOOSE(CONTROL!$C$12, $D$11, 100%, $F$11)</f>
        <v>24.412400000000002</v>
      </c>
      <c r="J771" s="4">
        <f>24.3063 * CHOOSE(CONTROL!$C$12, $D$11, 100%, $F$11)</f>
        <v>24.3063</v>
      </c>
      <c r="K771" s="4"/>
      <c r="L771" s="9">
        <v>26.515499999999999</v>
      </c>
      <c r="M771" s="9">
        <v>11.6745</v>
      </c>
      <c r="N771" s="9">
        <v>4.7850000000000001</v>
      </c>
      <c r="O771" s="9">
        <v>0.36249999999999999</v>
      </c>
      <c r="P771" s="9">
        <v>1.2522</v>
      </c>
      <c r="Q771" s="9">
        <v>19.053000000000001</v>
      </c>
      <c r="R771" s="9"/>
      <c r="S771" s="11"/>
    </row>
    <row r="772" spans="1:19" ht="15.75">
      <c r="A772" s="13">
        <v>65380</v>
      </c>
      <c r="B772" s="8">
        <f>25.3254 * CHOOSE(CONTROL!$C$12, $D$11, 100%, $F$11)</f>
        <v>25.325399999999998</v>
      </c>
      <c r="C772" s="8">
        <f>25.3359 * CHOOSE(CONTROL!$C$12, $D$11, 100%, $F$11)</f>
        <v>25.335899999999999</v>
      </c>
      <c r="D772" s="8">
        <f>25.3203 * CHOOSE( CONTROL!$C$12, $D$11, 100%, $F$11)</f>
        <v>25.3203</v>
      </c>
      <c r="E772" s="12">
        <f>25.3249 * CHOOSE( CONTROL!$C$12, $D$11, 100%, $F$11)</f>
        <v>25.3249</v>
      </c>
      <c r="F772" s="4">
        <f>26.3196 * CHOOSE(CONTROL!$C$12, $D$11, 100%, $F$11)</f>
        <v>26.319600000000001</v>
      </c>
      <c r="G772" s="8">
        <f>24.6968 * CHOOSE( CONTROL!$C$12, $D$11, 100%, $F$11)</f>
        <v>24.6968</v>
      </c>
      <c r="H772" s="4">
        <f>25.5794 * CHOOSE(CONTROL!$C$12, $D$11, 100%, $F$11)</f>
        <v>25.5794</v>
      </c>
      <c r="I772" s="8">
        <f>24.3754 * CHOOSE(CONTROL!$C$12, $D$11, 100%, $F$11)</f>
        <v>24.375399999999999</v>
      </c>
      <c r="J772" s="4">
        <f>24.2621 * CHOOSE(CONTROL!$C$12, $D$11, 100%, $F$11)</f>
        <v>24.2621</v>
      </c>
      <c r="K772" s="4"/>
      <c r="L772" s="9">
        <v>27.3993</v>
      </c>
      <c r="M772" s="9">
        <v>12.063700000000001</v>
      </c>
      <c r="N772" s="9">
        <v>4.9444999999999997</v>
      </c>
      <c r="O772" s="9">
        <v>0.37459999999999999</v>
      </c>
      <c r="P772" s="9">
        <v>1.2939000000000001</v>
      </c>
      <c r="Q772" s="9">
        <v>19.688099999999999</v>
      </c>
      <c r="R772" s="9"/>
      <c r="S772" s="11"/>
    </row>
    <row r="773" spans="1:19" ht="15.75">
      <c r="A773" s="13">
        <v>65411</v>
      </c>
      <c r="B773" s="8">
        <f>26.2932 * CHOOSE(CONTROL!$C$12, $D$11, 100%, $F$11)</f>
        <v>26.293199999999999</v>
      </c>
      <c r="C773" s="8">
        <f>26.3036 * CHOOSE(CONTROL!$C$12, $D$11, 100%, $F$11)</f>
        <v>26.303599999999999</v>
      </c>
      <c r="D773" s="8">
        <f>26.3013 * CHOOSE( CONTROL!$C$12, $D$11, 100%, $F$11)</f>
        <v>26.301300000000001</v>
      </c>
      <c r="E773" s="12">
        <f>26.301 * CHOOSE( CONTROL!$C$12, $D$11, 100%, $F$11)</f>
        <v>26.300999999999998</v>
      </c>
      <c r="F773" s="4">
        <f>27.3161 * CHOOSE(CONTROL!$C$12, $D$11, 100%, $F$11)</f>
        <v>27.316099999999999</v>
      </c>
      <c r="G773" s="8">
        <f>25.6573 * CHOOSE( CONTROL!$C$12, $D$11, 100%, $F$11)</f>
        <v>25.657299999999999</v>
      </c>
      <c r="H773" s="4">
        <f>26.5507 * CHOOSE(CONTROL!$C$12, $D$11, 100%, $F$11)</f>
        <v>26.550699999999999</v>
      </c>
      <c r="I773" s="8">
        <f>25.3105 * CHOOSE(CONTROL!$C$12, $D$11, 100%, $F$11)</f>
        <v>25.310500000000001</v>
      </c>
      <c r="J773" s="4">
        <f>25.1894 * CHOOSE(CONTROL!$C$12, $D$11, 100%, $F$11)</f>
        <v>25.189399999999999</v>
      </c>
      <c r="K773" s="4"/>
      <c r="L773" s="9">
        <v>27.3993</v>
      </c>
      <c r="M773" s="9">
        <v>12.063700000000001</v>
      </c>
      <c r="N773" s="9">
        <v>4.9444999999999997</v>
      </c>
      <c r="O773" s="9">
        <v>0.37459999999999999</v>
      </c>
      <c r="P773" s="9">
        <v>1.2939000000000001</v>
      </c>
      <c r="Q773" s="9">
        <v>19.688099999999999</v>
      </c>
      <c r="R773" s="9"/>
      <c r="S773" s="11"/>
    </row>
    <row r="774" spans="1:19" ht="15.75">
      <c r="A774" s="13">
        <v>65439</v>
      </c>
      <c r="B774" s="8">
        <f>24.5937 * CHOOSE(CONTROL!$C$12, $D$11, 100%, $F$11)</f>
        <v>24.593699999999998</v>
      </c>
      <c r="C774" s="8">
        <f>24.6041 * CHOOSE(CONTROL!$C$12, $D$11, 100%, $F$11)</f>
        <v>24.604099999999999</v>
      </c>
      <c r="D774" s="8">
        <f>24.6041 * CHOOSE( CONTROL!$C$12, $D$11, 100%, $F$11)</f>
        <v>24.604099999999999</v>
      </c>
      <c r="E774" s="12">
        <f>24.603 * CHOOSE( CONTROL!$C$12, $D$11, 100%, $F$11)</f>
        <v>24.603000000000002</v>
      </c>
      <c r="F774" s="4">
        <f>25.6088 * CHOOSE(CONTROL!$C$12, $D$11, 100%, $F$11)</f>
        <v>25.608799999999999</v>
      </c>
      <c r="G774" s="8">
        <f>24.0006 * CHOOSE( CONTROL!$C$12, $D$11, 100%, $F$11)</f>
        <v>24.000599999999999</v>
      </c>
      <c r="H774" s="4">
        <f>24.8864 * CHOOSE(CONTROL!$C$12, $D$11, 100%, $F$11)</f>
        <v>24.886399999999998</v>
      </c>
      <c r="I774" s="8">
        <f>23.6703 * CHOOSE(CONTROL!$C$12, $D$11, 100%, $F$11)</f>
        <v>23.670300000000001</v>
      </c>
      <c r="J774" s="4">
        <f>23.5609 * CHOOSE(CONTROL!$C$12, $D$11, 100%, $F$11)</f>
        <v>23.5609</v>
      </c>
      <c r="K774" s="4"/>
      <c r="L774" s="9">
        <v>24.747800000000002</v>
      </c>
      <c r="M774" s="9">
        <v>10.8962</v>
      </c>
      <c r="N774" s="9">
        <v>4.4660000000000002</v>
      </c>
      <c r="O774" s="9">
        <v>0.33829999999999999</v>
      </c>
      <c r="P774" s="9">
        <v>1.1687000000000001</v>
      </c>
      <c r="Q774" s="9">
        <v>17.782800000000002</v>
      </c>
      <c r="R774" s="9"/>
      <c r="S774" s="11"/>
    </row>
    <row r="775" spans="1:19" ht="15.75">
      <c r="A775" s="13">
        <v>65470</v>
      </c>
      <c r="B775" s="8">
        <f>24.0702 * CHOOSE(CONTROL!$C$12, $D$11, 100%, $F$11)</f>
        <v>24.0702</v>
      </c>
      <c r="C775" s="8">
        <f>24.0807 * CHOOSE(CONTROL!$C$12, $D$11, 100%, $F$11)</f>
        <v>24.0807</v>
      </c>
      <c r="D775" s="8">
        <f>24.0605 * CHOOSE( CONTROL!$C$12, $D$11, 100%, $F$11)</f>
        <v>24.060500000000001</v>
      </c>
      <c r="E775" s="12">
        <f>24.0668 * CHOOSE( CONTROL!$C$12, $D$11, 100%, $F$11)</f>
        <v>24.066800000000001</v>
      </c>
      <c r="F775" s="4">
        <f>25.0692 * CHOOSE(CONTROL!$C$12, $D$11, 100%, $F$11)</f>
        <v>25.069199999999999</v>
      </c>
      <c r="G775" s="8">
        <f>23.4698 * CHOOSE( CONTROL!$C$12, $D$11, 100%, $F$11)</f>
        <v>23.469799999999999</v>
      </c>
      <c r="H775" s="4">
        <f>24.3604 * CHOOSE(CONTROL!$C$12, $D$11, 100%, $F$11)</f>
        <v>24.360399999999998</v>
      </c>
      <c r="I775" s="8">
        <f>23.129 * CHOOSE(CONTROL!$C$12, $D$11, 100%, $F$11)</f>
        <v>23.129000000000001</v>
      </c>
      <c r="J775" s="4">
        <f>23.0594 * CHOOSE(CONTROL!$C$12, $D$11, 100%, $F$11)</f>
        <v>23.0594</v>
      </c>
      <c r="K775" s="4"/>
      <c r="L775" s="9">
        <v>27.3993</v>
      </c>
      <c r="M775" s="9">
        <v>12.063700000000001</v>
      </c>
      <c r="N775" s="9">
        <v>4.9444999999999997</v>
      </c>
      <c r="O775" s="9">
        <v>0.37459999999999999</v>
      </c>
      <c r="P775" s="9">
        <v>1.2939000000000001</v>
      </c>
      <c r="Q775" s="9">
        <v>19.688099999999999</v>
      </c>
      <c r="R775" s="9"/>
      <c r="S775" s="11"/>
    </row>
    <row r="776" spans="1:19" ht="15.75">
      <c r="A776" s="13">
        <v>65500</v>
      </c>
      <c r="B776" s="8">
        <f>24.436 * CHOOSE(CONTROL!$C$12, $D$11, 100%, $F$11)</f>
        <v>24.436</v>
      </c>
      <c r="C776" s="8">
        <f>24.4465 * CHOOSE(CONTROL!$C$12, $D$11, 100%, $F$11)</f>
        <v>24.4465</v>
      </c>
      <c r="D776" s="8">
        <f>24.4497 * CHOOSE( CONTROL!$C$12, $D$11, 100%, $F$11)</f>
        <v>24.4497</v>
      </c>
      <c r="E776" s="12">
        <f>24.4474 * CHOOSE( CONTROL!$C$12, $D$11, 100%, $F$11)</f>
        <v>24.447399999999998</v>
      </c>
      <c r="F776" s="4">
        <f>25.4433 * CHOOSE(CONTROL!$C$12, $D$11, 100%, $F$11)</f>
        <v>25.443300000000001</v>
      </c>
      <c r="G776" s="8">
        <f>23.8143 * CHOOSE( CONTROL!$C$12, $D$11, 100%, $F$11)</f>
        <v>23.814299999999999</v>
      </c>
      <c r="H776" s="4">
        <f>24.7251 * CHOOSE(CONTROL!$C$12, $D$11, 100%, $F$11)</f>
        <v>24.725100000000001</v>
      </c>
      <c r="I776" s="8">
        <f>23.4698 * CHOOSE(CONTROL!$C$12, $D$11, 100%, $F$11)</f>
        <v>23.469799999999999</v>
      </c>
      <c r="J776" s="4">
        <f>23.4098 * CHOOSE(CONTROL!$C$12, $D$11, 100%, $F$11)</f>
        <v>23.409800000000001</v>
      </c>
      <c r="K776" s="4"/>
      <c r="L776" s="9">
        <v>27.988800000000001</v>
      </c>
      <c r="M776" s="9">
        <v>11.6745</v>
      </c>
      <c r="N776" s="9">
        <v>4.7850000000000001</v>
      </c>
      <c r="O776" s="9">
        <v>0.36249999999999999</v>
      </c>
      <c r="P776" s="9">
        <v>1.1798</v>
      </c>
      <c r="Q776" s="9">
        <v>19.053000000000001</v>
      </c>
      <c r="R776" s="9"/>
      <c r="S776" s="11"/>
    </row>
    <row r="777" spans="1:19" ht="15.75">
      <c r="A777" s="13">
        <v>65531</v>
      </c>
      <c r="B777" s="8">
        <f>CHOOSE( CONTROL!$C$29, 25.0912, 25.087) * CHOOSE(CONTROL!$C$12, $D$11, 100%, $F$11)</f>
        <v>25.091200000000001</v>
      </c>
      <c r="C777" s="8">
        <f>CHOOSE( CONTROL!$C$29, 25.1017, 25.0974) * CHOOSE(CONTROL!$C$12, $D$11, 100%, $F$11)</f>
        <v>25.101700000000001</v>
      </c>
      <c r="D777" s="8">
        <f>CHOOSE( CONTROL!$C$29, 25.0796, 25.0753) * CHOOSE( CONTROL!$C$12, $D$11, 100%, $F$11)</f>
        <v>25.079599999999999</v>
      </c>
      <c r="E777" s="12">
        <f>CHOOSE( CONTROL!$C$29, 25.086, 25.0817) * CHOOSE( CONTROL!$C$12, $D$11, 100%, $F$11)</f>
        <v>25.085999999999999</v>
      </c>
      <c r="F777" s="4">
        <f>CHOOSE( CONTROL!$C$29, 26.0661, 26.0619) * CHOOSE(CONTROL!$C$12, $D$11, 100%, $F$11)</f>
        <v>26.066099999999999</v>
      </c>
      <c r="G777" s="8">
        <f>CHOOSE( CONTROL!$C$29, 24.4342, 24.43) * CHOOSE( CONTROL!$C$12, $D$11, 100%, $F$11)</f>
        <v>24.434200000000001</v>
      </c>
      <c r="H777" s="4">
        <f>CHOOSE( CONTROL!$C$29, 25.3323, 25.3281) * CHOOSE(CONTROL!$C$12, $D$11, 100%, $F$11)</f>
        <v>25.3323</v>
      </c>
      <c r="I777" s="8">
        <f>CHOOSE( CONTROL!$C$29, 24.0764, 24.0723) * CHOOSE(CONTROL!$C$12, $D$11, 100%, $F$11)</f>
        <v>24.0764</v>
      </c>
      <c r="J777" s="4">
        <f>CHOOSE( CONTROL!$C$29, 24.0377, 24.0336) * CHOOSE(CONTROL!$C$12, $D$11, 100%, $F$11)</f>
        <v>24.037700000000001</v>
      </c>
      <c r="K777" s="4"/>
      <c r="L777" s="9">
        <v>29.520499999999998</v>
      </c>
      <c r="M777" s="9">
        <v>12.063700000000001</v>
      </c>
      <c r="N777" s="9">
        <v>4.9444999999999997</v>
      </c>
      <c r="O777" s="9">
        <v>0.37459999999999999</v>
      </c>
      <c r="P777" s="9">
        <v>1.2192000000000001</v>
      </c>
      <c r="Q777" s="9">
        <v>19.688099999999999</v>
      </c>
      <c r="R777" s="9"/>
      <c r="S777" s="11"/>
    </row>
    <row r="778" spans="1:19" ht="15.75">
      <c r="A778" s="13">
        <v>65561</v>
      </c>
      <c r="B778" s="8">
        <f>CHOOSE( CONTROL!$C$29, 24.688, 24.6837) * CHOOSE(CONTROL!$C$12, $D$11, 100%, $F$11)</f>
        <v>24.687999999999999</v>
      </c>
      <c r="C778" s="8">
        <f>CHOOSE( CONTROL!$C$29, 24.6984, 24.6942) * CHOOSE(CONTROL!$C$12, $D$11, 100%, $F$11)</f>
        <v>24.698399999999999</v>
      </c>
      <c r="D778" s="8">
        <f>CHOOSE( CONTROL!$C$29, 24.6707, 24.6665) * CHOOSE( CONTROL!$C$12, $D$11, 100%, $F$11)</f>
        <v>24.6707</v>
      </c>
      <c r="E778" s="12">
        <f>CHOOSE( CONTROL!$C$29, 24.6792, 24.6749) * CHOOSE( CONTROL!$C$12, $D$11, 100%, $F$11)</f>
        <v>24.679200000000002</v>
      </c>
      <c r="F778" s="4">
        <f>CHOOSE( CONTROL!$C$29, 25.6524, 25.6482) * CHOOSE(CONTROL!$C$12, $D$11, 100%, $F$11)</f>
        <v>25.6524</v>
      </c>
      <c r="G778" s="8">
        <f>CHOOSE( CONTROL!$C$29, 24.0398, 24.0357) * CHOOSE( CONTROL!$C$12, $D$11, 100%, $F$11)</f>
        <v>24.0398</v>
      </c>
      <c r="H778" s="4">
        <f>CHOOSE( CONTROL!$C$29, 24.929, 24.9249) * CHOOSE(CONTROL!$C$12, $D$11, 100%, $F$11)</f>
        <v>24.928999999999998</v>
      </c>
      <c r="I778" s="8">
        <f>CHOOSE( CONTROL!$C$29, 23.692, 23.6879) * CHOOSE(CONTROL!$C$12, $D$11, 100%, $F$11)</f>
        <v>23.692</v>
      </c>
      <c r="J778" s="4">
        <f>CHOOSE( CONTROL!$C$29, 23.6513, 23.6472) * CHOOSE(CONTROL!$C$12, $D$11, 100%, $F$11)</f>
        <v>23.651299999999999</v>
      </c>
      <c r="K778" s="4"/>
      <c r="L778" s="9">
        <v>28.568200000000001</v>
      </c>
      <c r="M778" s="9">
        <v>11.6745</v>
      </c>
      <c r="N778" s="9">
        <v>4.7850000000000001</v>
      </c>
      <c r="O778" s="9">
        <v>0.36249999999999999</v>
      </c>
      <c r="P778" s="9">
        <v>1.1798</v>
      </c>
      <c r="Q778" s="9">
        <v>19.053000000000001</v>
      </c>
      <c r="R778" s="9"/>
      <c r="S778" s="11"/>
    </row>
    <row r="779" spans="1:19" ht="15.75">
      <c r="A779" s="13">
        <v>65592</v>
      </c>
      <c r="B779" s="8">
        <f>CHOOSE( CONTROL!$C$29, 25.7499, 25.7457) * CHOOSE(CONTROL!$C$12, $D$11, 100%, $F$11)</f>
        <v>25.7499</v>
      </c>
      <c r="C779" s="8">
        <f>CHOOSE( CONTROL!$C$29, 25.7603, 25.7561) * CHOOSE(CONTROL!$C$12, $D$11, 100%, $F$11)</f>
        <v>25.760300000000001</v>
      </c>
      <c r="D779" s="8">
        <f>CHOOSE( CONTROL!$C$29, 25.7665, 25.7622) * CHOOSE( CONTROL!$C$12, $D$11, 100%, $F$11)</f>
        <v>25.766500000000001</v>
      </c>
      <c r="E779" s="12">
        <f>CHOOSE( CONTROL!$C$29, 25.7627, 25.7584) * CHOOSE( CONTROL!$C$12, $D$11, 100%, $F$11)</f>
        <v>25.762699999999999</v>
      </c>
      <c r="F779" s="4">
        <f>CHOOSE( CONTROL!$C$29, 26.7598, 26.7555) * CHOOSE(CONTROL!$C$12, $D$11, 100%, $F$11)</f>
        <v>26.759799999999998</v>
      </c>
      <c r="G779" s="8">
        <f>CHOOSE( CONTROL!$C$29, 25.101, 25.0969) * CHOOSE( CONTROL!$C$12, $D$11, 100%, $F$11)</f>
        <v>25.100999999999999</v>
      </c>
      <c r="H779" s="4">
        <f>CHOOSE( CONTROL!$C$29, 26.0084, 26.0043) * CHOOSE(CONTROL!$C$12, $D$11, 100%, $F$11)</f>
        <v>26.008400000000002</v>
      </c>
      <c r="I779" s="8">
        <f>CHOOSE( CONTROL!$C$29, 24.7653, 24.7612) * CHOOSE(CONTROL!$C$12, $D$11, 100%, $F$11)</f>
        <v>24.7653</v>
      </c>
      <c r="J779" s="4">
        <f>CHOOSE( CONTROL!$C$29, 24.6688, 24.6647) * CHOOSE(CONTROL!$C$12, $D$11, 100%, $F$11)</f>
        <v>24.668800000000001</v>
      </c>
      <c r="K779" s="4"/>
      <c r="L779" s="9">
        <v>29.520499999999998</v>
      </c>
      <c r="M779" s="9">
        <v>12.063700000000001</v>
      </c>
      <c r="N779" s="9">
        <v>4.9444999999999997</v>
      </c>
      <c r="O779" s="9">
        <v>0.37459999999999999</v>
      </c>
      <c r="P779" s="9">
        <v>1.2192000000000001</v>
      </c>
      <c r="Q779" s="9">
        <v>19.688099999999999</v>
      </c>
      <c r="R779" s="9"/>
      <c r="S779" s="11"/>
    </row>
    <row r="780" spans="1:19" ht="15.75">
      <c r="A780" s="13">
        <v>65623</v>
      </c>
      <c r="B780" s="8">
        <f>CHOOSE( CONTROL!$C$29, 23.7629, 23.7587) * CHOOSE(CONTROL!$C$12, $D$11, 100%, $F$11)</f>
        <v>23.762899999999998</v>
      </c>
      <c r="C780" s="8">
        <f>CHOOSE( CONTROL!$C$29, 23.7734, 23.7691) * CHOOSE(CONTROL!$C$12, $D$11, 100%, $F$11)</f>
        <v>23.773399999999999</v>
      </c>
      <c r="D780" s="8">
        <f>CHOOSE( CONTROL!$C$29, 23.7959, 23.7917) * CHOOSE( CONTROL!$C$12, $D$11, 100%, $F$11)</f>
        <v>23.7959</v>
      </c>
      <c r="E780" s="12">
        <f>CHOOSE( CONTROL!$C$29, 23.7861, 23.7819) * CHOOSE( CONTROL!$C$12, $D$11, 100%, $F$11)</f>
        <v>23.786100000000001</v>
      </c>
      <c r="F780" s="4">
        <f>CHOOSE( CONTROL!$C$29, 24.8015, 24.7972) * CHOOSE(CONTROL!$C$12, $D$11, 100%, $F$11)</f>
        <v>24.801500000000001</v>
      </c>
      <c r="G780" s="8">
        <f>CHOOSE( CONTROL!$C$29, 23.1698, 23.1656) * CHOOSE( CONTROL!$C$12, $D$11, 100%, $F$11)</f>
        <v>23.169799999999999</v>
      </c>
      <c r="H780" s="4">
        <f>CHOOSE( CONTROL!$C$29, 24.0995, 24.0954) * CHOOSE(CONTROL!$C$12, $D$11, 100%, $F$11)</f>
        <v>24.099499999999999</v>
      </c>
      <c r="I780" s="8">
        <f>CHOOSE( CONTROL!$C$29, 22.8519, 22.8478) * CHOOSE(CONTROL!$C$12, $D$11, 100%, $F$11)</f>
        <v>22.851900000000001</v>
      </c>
      <c r="J780" s="4">
        <f>CHOOSE( CONTROL!$C$29, 22.7649, 22.7608) * CHOOSE(CONTROL!$C$12, $D$11, 100%, $F$11)</f>
        <v>22.764900000000001</v>
      </c>
      <c r="K780" s="4"/>
      <c r="L780" s="9">
        <v>29.520499999999998</v>
      </c>
      <c r="M780" s="9">
        <v>12.063700000000001</v>
      </c>
      <c r="N780" s="9">
        <v>4.9444999999999997</v>
      </c>
      <c r="O780" s="9">
        <v>0.37459999999999999</v>
      </c>
      <c r="P780" s="9">
        <v>1.2192000000000001</v>
      </c>
      <c r="Q780" s="9">
        <v>19.688099999999999</v>
      </c>
      <c r="R780" s="9"/>
      <c r="S780" s="11"/>
    </row>
    <row r="781" spans="1:19" ht="15.75">
      <c r="A781" s="13">
        <v>65653</v>
      </c>
      <c r="B781" s="8">
        <f>CHOOSE( CONTROL!$C$29, 23.2654, 23.2611) * CHOOSE(CONTROL!$C$12, $D$11, 100%, $F$11)</f>
        <v>23.2654</v>
      </c>
      <c r="C781" s="8">
        <f>CHOOSE( CONTROL!$C$29, 23.2758, 23.2715) * CHOOSE(CONTROL!$C$12, $D$11, 100%, $F$11)</f>
        <v>23.2758</v>
      </c>
      <c r="D781" s="8">
        <f>CHOOSE( CONTROL!$C$29, 23.2983, 23.2941) * CHOOSE( CONTROL!$C$12, $D$11, 100%, $F$11)</f>
        <v>23.298300000000001</v>
      </c>
      <c r="E781" s="12">
        <f>CHOOSE( CONTROL!$C$29, 23.2886, 23.2843) * CHOOSE( CONTROL!$C$12, $D$11, 100%, $F$11)</f>
        <v>23.288599999999999</v>
      </c>
      <c r="F781" s="4">
        <f>CHOOSE( CONTROL!$C$29, 24.3039, 24.2997) * CHOOSE(CONTROL!$C$12, $D$11, 100%, $F$11)</f>
        <v>24.303899999999999</v>
      </c>
      <c r="G781" s="8">
        <f>CHOOSE( CONTROL!$C$29, 22.6844, 22.6803) * CHOOSE( CONTROL!$C$12, $D$11, 100%, $F$11)</f>
        <v>22.6844</v>
      </c>
      <c r="H781" s="4">
        <f>CHOOSE( CONTROL!$C$29, 23.6145, 23.6104) * CHOOSE(CONTROL!$C$12, $D$11, 100%, $F$11)</f>
        <v>23.6145</v>
      </c>
      <c r="I781" s="8">
        <f>CHOOSE( CONTROL!$C$29, 22.3732, 22.3691) * CHOOSE(CONTROL!$C$12, $D$11, 100%, $F$11)</f>
        <v>22.373200000000001</v>
      </c>
      <c r="J781" s="4">
        <f>CHOOSE( CONTROL!$C$29, 22.2881, 22.284) * CHOOSE(CONTROL!$C$12, $D$11, 100%, $F$11)</f>
        <v>22.2881</v>
      </c>
      <c r="K781" s="4"/>
      <c r="L781" s="9">
        <v>28.568200000000001</v>
      </c>
      <c r="M781" s="9">
        <v>11.6745</v>
      </c>
      <c r="N781" s="9">
        <v>4.7850000000000001</v>
      </c>
      <c r="O781" s="9">
        <v>0.36249999999999999</v>
      </c>
      <c r="P781" s="9">
        <v>1.1798</v>
      </c>
      <c r="Q781" s="9">
        <v>19.053000000000001</v>
      </c>
      <c r="R781" s="9"/>
      <c r="S781" s="11"/>
    </row>
    <row r="782" spans="1:19" ht="15.75">
      <c r="A782" s="13">
        <v>65684</v>
      </c>
      <c r="B782" s="8">
        <f>24.2942 * CHOOSE(CONTROL!$C$12, $D$11, 100%, $F$11)</f>
        <v>24.2942</v>
      </c>
      <c r="C782" s="8">
        <f>24.3047 * CHOOSE(CONTROL!$C$12, $D$11, 100%, $F$11)</f>
        <v>24.3047</v>
      </c>
      <c r="D782" s="8">
        <f>24.3091 * CHOOSE( CONTROL!$C$12, $D$11, 100%, $F$11)</f>
        <v>24.309100000000001</v>
      </c>
      <c r="E782" s="12">
        <f>24.3065 * CHOOSE( CONTROL!$C$12, $D$11, 100%, $F$11)</f>
        <v>24.3065</v>
      </c>
      <c r="F782" s="4">
        <f>25.3015 * CHOOSE(CONTROL!$C$12, $D$11, 100%, $F$11)</f>
        <v>25.301500000000001</v>
      </c>
      <c r="G782" s="8">
        <f>23.6776 * CHOOSE( CONTROL!$C$12, $D$11, 100%, $F$11)</f>
        <v>23.677600000000002</v>
      </c>
      <c r="H782" s="4">
        <f>24.5869 * CHOOSE(CONTROL!$C$12, $D$11, 100%, $F$11)</f>
        <v>24.5869</v>
      </c>
      <c r="I782" s="8">
        <f>23.3562 * CHOOSE(CONTROL!$C$12, $D$11, 100%, $F$11)</f>
        <v>23.356200000000001</v>
      </c>
      <c r="J782" s="4">
        <f>23.274 * CHOOSE(CONTROL!$C$12, $D$11, 100%, $F$11)</f>
        <v>23.274000000000001</v>
      </c>
      <c r="K782" s="4"/>
      <c r="L782" s="9">
        <v>28.921800000000001</v>
      </c>
      <c r="M782" s="9">
        <v>12.063700000000001</v>
      </c>
      <c r="N782" s="9">
        <v>4.9444999999999997</v>
      </c>
      <c r="O782" s="9">
        <v>0.37459999999999999</v>
      </c>
      <c r="P782" s="9">
        <v>1.2192000000000001</v>
      </c>
      <c r="Q782" s="9">
        <v>19.688099999999999</v>
      </c>
      <c r="R782" s="9"/>
      <c r="S782" s="11"/>
    </row>
    <row r="783" spans="1:19" ht="15.75">
      <c r="A783" s="13">
        <v>65714</v>
      </c>
      <c r="B783" s="8">
        <f>26.2012 * CHOOSE(CONTROL!$C$12, $D$11, 100%, $F$11)</f>
        <v>26.2012</v>
      </c>
      <c r="C783" s="8">
        <f>26.2116 * CHOOSE(CONTROL!$C$12, $D$11, 100%, $F$11)</f>
        <v>26.211600000000001</v>
      </c>
      <c r="D783" s="8">
        <f>26.194 * CHOOSE( CONTROL!$C$12, $D$11, 100%, $F$11)</f>
        <v>26.193999999999999</v>
      </c>
      <c r="E783" s="12">
        <f>26.1993 * CHOOSE( CONTROL!$C$12, $D$11, 100%, $F$11)</f>
        <v>26.199300000000001</v>
      </c>
      <c r="F783" s="4">
        <f>27.1954 * CHOOSE(CONTROL!$C$12, $D$11, 100%, $F$11)</f>
        <v>27.195399999999999</v>
      </c>
      <c r="G783" s="8">
        <f>25.5489 * CHOOSE( CONTROL!$C$12, $D$11, 100%, $F$11)</f>
        <v>25.5489</v>
      </c>
      <c r="H783" s="4">
        <f>26.433 * CHOOSE(CONTROL!$C$12, $D$11, 100%, $F$11)</f>
        <v>26.433</v>
      </c>
      <c r="I783" s="8">
        <f>25.2077 * CHOOSE(CONTROL!$C$12, $D$11, 100%, $F$11)</f>
        <v>25.207699999999999</v>
      </c>
      <c r="J783" s="4">
        <f>25.1012 * CHOOSE(CONTROL!$C$12, $D$11, 100%, $F$11)</f>
        <v>25.101199999999999</v>
      </c>
      <c r="K783" s="4"/>
      <c r="L783" s="9">
        <v>26.515499999999999</v>
      </c>
      <c r="M783" s="9">
        <v>11.6745</v>
      </c>
      <c r="N783" s="9">
        <v>4.7850000000000001</v>
      </c>
      <c r="O783" s="9">
        <v>0.36249999999999999</v>
      </c>
      <c r="P783" s="9">
        <v>1.2522</v>
      </c>
      <c r="Q783" s="9">
        <v>19.053000000000001</v>
      </c>
      <c r="R783" s="9"/>
      <c r="S783" s="11"/>
    </row>
    <row r="784" spans="1:19" ht="15.75">
      <c r="A784" s="13">
        <v>65745</v>
      </c>
      <c r="B784" s="8">
        <f>26.1535 * CHOOSE(CONTROL!$C$12, $D$11, 100%, $F$11)</f>
        <v>26.153500000000001</v>
      </c>
      <c r="C784" s="8">
        <f>26.1639 * CHOOSE(CONTROL!$C$12, $D$11, 100%, $F$11)</f>
        <v>26.163900000000002</v>
      </c>
      <c r="D784" s="8">
        <f>26.1483 * CHOOSE( CONTROL!$C$12, $D$11, 100%, $F$11)</f>
        <v>26.148299999999999</v>
      </c>
      <c r="E784" s="12">
        <f>26.1529 * CHOOSE( CONTROL!$C$12, $D$11, 100%, $F$11)</f>
        <v>26.152899999999999</v>
      </c>
      <c r="F784" s="4">
        <f>27.1477 * CHOOSE(CONTROL!$C$12, $D$11, 100%, $F$11)</f>
        <v>27.1477</v>
      </c>
      <c r="G784" s="8">
        <f>25.504 * CHOOSE( CONTROL!$C$12, $D$11, 100%, $F$11)</f>
        <v>25.504000000000001</v>
      </c>
      <c r="H784" s="4">
        <f>26.3866 * CHOOSE(CONTROL!$C$12, $D$11, 100%, $F$11)</f>
        <v>26.386600000000001</v>
      </c>
      <c r="I784" s="8">
        <f>25.1693 * CHOOSE(CONTROL!$C$12, $D$11, 100%, $F$11)</f>
        <v>25.1693</v>
      </c>
      <c r="J784" s="4">
        <f>25.0555 * CHOOSE(CONTROL!$C$12, $D$11, 100%, $F$11)</f>
        <v>25.055499999999999</v>
      </c>
      <c r="K784" s="4"/>
      <c r="L784" s="9">
        <v>27.3993</v>
      </c>
      <c r="M784" s="9">
        <v>12.063700000000001</v>
      </c>
      <c r="N784" s="9">
        <v>4.9444999999999997</v>
      </c>
      <c r="O784" s="9">
        <v>0.37459999999999999</v>
      </c>
      <c r="P784" s="9">
        <v>1.2939000000000001</v>
      </c>
      <c r="Q784" s="9">
        <v>19.688099999999999</v>
      </c>
      <c r="R784" s="9"/>
      <c r="S784" s="11"/>
    </row>
    <row r="785" spans="1:19" ht="15.75">
      <c r="A785" s="13">
        <v>65776</v>
      </c>
      <c r="B785" s="8">
        <f>27.1529 * CHOOSE(CONTROL!$C$12, $D$11, 100%, $F$11)</f>
        <v>27.152899999999999</v>
      </c>
      <c r="C785" s="8">
        <f>27.1633 * CHOOSE(CONTROL!$C$12, $D$11, 100%, $F$11)</f>
        <v>27.1633</v>
      </c>
      <c r="D785" s="8">
        <f>27.161 * CHOOSE( CONTROL!$C$12, $D$11, 100%, $F$11)</f>
        <v>27.161000000000001</v>
      </c>
      <c r="E785" s="12">
        <f>27.1607 * CHOOSE( CONTROL!$C$12, $D$11, 100%, $F$11)</f>
        <v>27.160699999999999</v>
      </c>
      <c r="F785" s="4">
        <f>28.1758 * CHOOSE(CONTROL!$C$12, $D$11, 100%, $F$11)</f>
        <v>28.175799999999999</v>
      </c>
      <c r="G785" s="8">
        <f>26.4953 * CHOOSE( CONTROL!$C$12, $D$11, 100%, $F$11)</f>
        <v>26.4953</v>
      </c>
      <c r="H785" s="4">
        <f>27.3887 * CHOOSE(CONTROL!$C$12, $D$11, 100%, $F$11)</f>
        <v>27.3887</v>
      </c>
      <c r="I785" s="8">
        <f>26.1347 * CHOOSE(CONTROL!$C$12, $D$11, 100%, $F$11)</f>
        <v>26.134699999999999</v>
      </c>
      <c r="J785" s="4">
        <f>26.0131 * CHOOSE(CONTROL!$C$12, $D$11, 100%, $F$11)</f>
        <v>26.013100000000001</v>
      </c>
      <c r="K785" s="4"/>
      <c r="L785" s="9">
        <v>27.3993</v>
      </c>
      <c r="M785" s="9">
        <v>12.063700000000001</v>
      </c>
      <c r="N785" s="9">
        <v>4.9444999999999997</v>
      </c>
      <c r="O785" s="9">
        <v>0.37459999999999999</v>
      </c>
      <c r="P785" s="9">
        <v>1.2939000000000001</v>
      </c>
      <c r="Q785" s="9">
        <v>19.688099999999999</v>
      </c>
      <c r="R785" s="9"/>
      <c r="S785" s="11"/>
    </row>
    <row r="786" spans="1:19" ht="15.75">
      <c r="A786" s="13">
        <v>65805</v>
      </c>
      <c r="B786" s="8">
        <f>25.3978 * CHOOSE(CONTROL!$C$12, $D$11, 100%, $F$11)</f>
        <v>25.3978</v>
      </c>
      <c r="C786" s="8">
        <f>25.4083 * CHOOSE(CONTROL!$C$12, $D$11, 100%, $F$11)</f>
        <v>25.408300000000001</v>
      </c>
      <c r="D786" s="8">
        <f>25.4082 * CHOOSE( CONTROL!$C$12, $D$11, 100%, $F$11)</f>
        <v>25.408200000000001</v>
      </c>
      <c r="E786" s="12">
        <f>25.4071 * CHOOSE( CONTROL!$C$12, $D$11, 100%, $F$11)</f>
        <v>25.4071</v>
      </c>
      <c r="F786" s="4">
        <f>26.4129 * CHOOSE(CONTROL!$C$12, $D$11, 100%, $F$11)</f>
        <v>26.4129</v>
      </c>
      <c r="G786" s="8">
        <f>24.7844 * CHOOSE( CONTROL!$C$12, $D$11, 100%, $F$11)</f>
        <v>24.784400000000002</v>
      </c>
      <c r="H786" s="4">
        <f>25.6703 * CHOOSE(CONTROL!$C$12, $D$11, 100%, $F$11)</f>
        <v>25.670300000000001</v>
      </c>
      <c r="I786" s="8">
        <f>24.4413 * CHOOSE(CONTROL!$C$12, $D$11, 100%, $F$11)</f>
        <v>24.441299999999998</v>
      </c>
      <c r="J786" s="4">
        <f>24.3314 * CHOOSE(CONTROL!$C$12, $D$11, 100%, $F$11)</f>
        <v>24.331399999999999</v>
      </c>
      <c r="K786" s="4"/>
      <c r="L786" s="9">
        <v>25.631599999999999</v>
      </c>
      <c r="M786" s="9">
        <v>11.285299999999999</v>
      </c>
      <c r="N786" s="9">
        <v>4.6254999999999997</v>
      </c>
      <c r="O786" s="9">
        <v>0.35039999999999999</v>
      </c>
      <c r="P786" s="9">
        <v>1.2104999999999999</v>
      </c>
      <c r="Q786" s="9">
        <v>18.417899999999999</v>
      </c>
      <c r="R786" s="9"/>
      <c r="S786" s="11"/>
    </row>
    <row r="787" spans="1:19" ht="15.75">
      <c r="A787" s="13">
        <v>65836</v>
      </c>
      <c r="B787" s="8">
        <f>24.8573 * CHOOSE(CONTROL!$C$12, $D$11, 100%, $F$11)</f>
        <v>24.857299999999999</v>
      </c>
      <c r="C787" s="8">
        <f>24.8677 * CHOOSE(CONTROL!$C$12, $D$11, 100%, $F$11)</f>
        <v>24.867699999999999</v>
      </c>
      <c r="D787" s="8">
        <f>24.8475 * CHOOSE( CONTROL!$C$12, $D$11, 100%, $F$11)</f>
        <v>24.8475</v>
      </c>
      <c r="E787" s="12">
        <f>24.8538 * CHOOSE( CONTROL!$C$12, $D$11, 100%, $F$11)</f>
        <v>24.8538</v>
      </c>
      <c r="F787" s="4">
        <f>25.8562 * CHOOSE(CONTROL!$C$12, $D$11, 100%, $F$11)</f>
        <v>25.856200000000001</v>
      </c>
      <c r="G787" s="8">
        <f>24.237 * CHOOSE( CONTROL!$C$12, $D$11, 100%, $F$11)</f>
        <v>24.236999999999998</v>
      </c>
      <c r="H787" s="4">
        <f>25.1276 * CHOOSE(CONTROL!$C$12, $D$11, 100%, $F$11)</f>
        <v>25.127600000000001</v>
      </c>
      <c r="I787" s="8">
        <f>23.8835 * CHOOSE(CONTROL!$C$12, $D$11, 100%, $F$11)</f>
        <v>23.883500000000002</v>
      </c>
      <c r="J787" s="4">
        <f>23.8135 * CHOOSE(CONTROL!$C$12, $D$11, 100%, $F$11)</f>
        <v>23.813500000000001</v>
      </c>
      <c r="K787" s="4"/>
      <c r="L787" s="9">
        <v>27.3993</v>
      </c>
      <c r="M787" s="9">
        <v>12.063700000000001</v>
      </c>
      <c r="N787" s="9">
        <v>4.9444999999999997</v>
      </c>
      <c r="O787" s="9">
        <v>0.37459999999999999</v>
      </c>
      <c r="P787" s="9">
        <v>1.2939000000000001</v>
      </c>
      <c r="Q787" s="9">
        <v>19.688099999999999</v>
      </c>
      <c r="R787" s="9"/>
      <c r="S787" s="11"/>
    </row>
    <row r="788" spans="1:19" ht="15.75">
      <c r="A788" s="13">
        <v>65866</v>
      </c>
      <c r="B788" s="8">
        <f>25.235 * CHOOSE(CONTROL!$C$12, $D$11, 100%, $F$11)</f>
        <v>25.234999999999999</v>
      </c>
      <c r="C788" s="8">
        <f>25.2454 * CHOOSE(CONTROL!$C$12, $D$11, 100%, $F$11)</f>
        <v>25.2454</v>
      </c>
      <c r="D788" s="8">
        <f>25.2486 * CHOOSE( CONTROL!$C$12, $D$11, 100%, $F$11)</f>
        <v>25.2486</v>
      </c>
      <c r="E788" s="12">
        <f>25.2464 * CHOOSE( CONTROL!$C$12, $D$11, 100%, $F$11)</f>
        <v>25.246400000000001</v>
      </c>
      <c r="F788" s="4">
        <f>26.2423 * CHOOSE(CONTROL!$C$12, $D$11, 100%, $F$11)</f>
        <v>26.2423</v>
      </c>
      <c r="G788" s="8">
        <f>24.5931 * CHOOSE( CONTROL!$C$12, $D$11, 100%, $F$11)</f>
        <v>24.5931</v>
      </c>
      <c r="H788" s="4">
        <f>25.5039 * CHOOSE(CONTROL!$C$12, $D$11, 100%, $F$11)</f>
        <v>25.503900000000002</v>
      </c>
      <c r="I788" s="8">
        <f>24.2357 * CHOOSE(CONTROL!$C$12, $D$11, 100%, $F$11)</f>
        <v>24.235700000000001</v>
      </c>
      <c r="J788" s="4">
        <f>24.1754 * CHOOSE(CONTROL!$C$12, $D$11, 100%, $F$11)</f>
        <v>24.1754</v>
      </c>
      <c r="K788" s="4"/>
      <c r="L788" s="9">
        <v>27.988800000000001</v>
      </c>
      <c r="M788" s="9">
        <v>11.6745</v>
      </c>
      <c r="N788" s="9">
        <v>4.7850000000000001</v>
      </c>
      <c r="O788" s="9">
        <v>0.36249999999999999</v>
      </c>
      <c r="P788" s="9">
        <v>1.1798</v>
      </c>
      <c r="Q788" s="9">
        <v>19.053000000000001</v>
      </c>
      <c r="R788" s="9"/>
      <c r="S788" s="11"/>
    </row>
    <row r="789" spans="1:19" ht="15.75">
      <c r="A789" s="13">
        <v>65897</v>
      </c>
      <c r="B789" s="8">
        <f>CHOOSE( CONTROL!$C$29, 25.9115, 25.9073) * CHOOSE(CONTROL!$C$12, $D$11, 100%, $F$11)</f>
        <v>25.9115</v>
      </c>
      <c r="C789" s="8">
        <f>CHOOSE( CONTROL!$C$29, 25.9219, 25.9177) * CHOOSE(CONTROL!$C$12, $D$11, 100%, $F$11)</f>
        <v>25.921900000000001</v>
      </c>
      <c r="D789" s="8">
        <f>CHOOSE( CONTROL!$C$29, 25.8999, 25.8956) * CHOOSE( CONTROL!$C$12, $D$11, 100%, $F$11)</f>
        <v>25.899899999999999</v>
      </c>
      <c r="E789" s="12">
        <f>CHOOSE( CONTROL!$C$29, 25.9063, 25.902) * CHOOSE( CONTROL!$C$12, $D$11, 100%, $F$11)</f>
        <v>25.906300000000002</v>
      </c>
      <c r="F789" s="4">
        <f>CHOOSE( CONTROL!$C$29, 26.8864, 26.8822) * CHOOSE(CONTROL!$C$12, $D$11, 100%, $F$11)</f>
        <v>26.886399999999998</v>
      </c>
      <c r="G789" s="8">
        <f>CHOOSE( CONTROL!$C$29, 25.2338, 25.2296) * CHOOSE( CONTROL!$C$12, $D$11, 100%, $F$11)</f>
        <v>25.233799999999999</v>
      </c>
      <c r="H789" s="4">
        <f>CHOOSE( CONTROL!$C$29, 26.1319, 26.1277) * CHOOSE(CONTROL!$C$12, $D$11, 100%, $F$11)</f>
        <v>26.131900000000002</v>
      </c>
      <c r="I789" s="8">
        <f>CHOOSE( CONTROL!$C$29, 24.8628, 24.8587) * CHOOSE(CONTROL!$C$12, $D$11, 100%, $F$11)</f>
        <v>24.8628</v>
      </c>
      <c r="J789" s="4">
        <f>CHOOSE( CONTROL!$C$29, 24.8237, 24.8196) * CHOOSE(CONTROL!$C$12, $D$11, 100%, $F$11)</f>
        <v>24.823699999999999</v>
      </c>
      <c r="K789" s="4"/>
      <c r="L789" s="9">
        <v>29.520499999999998</v>
      </c>
      <c r="M789" s="9">
        <v>12.063700000000001</v>
      </c>
      <c r="N789" s="9">
        <v>4.9444999999999997</v>
      </c>
      <c r="O789" s="9">
        <v>0.37459999999999999</v>
      </c>
      <c r="P789" s="9">
        <v>1.2192000000000001</v>
      </c>
      <c r="Q789" s="9">
        <v>19.688099999999999</v>
      </c>
      <c r="R789" s="9"/>
      <c r="S789" s="11"/>
    </row>
    <row r="790" spans="1:19" ht="15.75">
      <c r="A790" s="13">
        <v>65927</v>
      </c>
      <c r="B790" s="8">
        <f>CHOOSE( CONTROL!$C$29, 25.4951, 25.4908) * CHOOSE(CONTROL!$C$12, $D$11, 100%, $F$11)</f>
        <v>25.495100000000001</v>
      </c>
      <c r="C790" s="8">
        <f>CHOOSE( CONTROL!$C$29, 25.5055, 25.5013) * CHOOSE(CONTROL!$C$12, $D$11, 100%, $F$11)</f>
        <v>25.505500000000001</v>
      </c>
      <c r="D790" s="8">
        <f>CHOOSE( CONTROL!$C$29, 25.4778, 25.4736) * CHOOSE( CONTROL!$C$12, $D$11, 100%, $F$11)</f>
        <v>25.477799999999998</v>
      </c>
      <c r="E790" s="12">
        <f>CHOOSE( CONTROL!$C$29, 25.4863, 25.482) * CHOOSE( CONTROL!$C$12, $D$11, 100%, $F$11)</f>
        <v>25.4863</v>
      </c>
      <c r="F790" s="4">
        <f>CHOOSE( CONTROL!$C$29, 26.4595, 26.4553) * CHOOSE(CONTROL!$C$12, $D$11, 100%, $F$11)</f>
        <v>26.459499999999998</v>
      </c>
      <c r="G790" s="8">
        <f>CHOOSE( CONTROL!$C$29, 24.8265, 24.8224) * CHOOSE( CONTROL!$C$12, $D$11, 100%, $F$11)</f>
        <v>24.826499999999999</v>
      </c>
      <c r="H790" s="4">
        <f>CHOOSE( CONTROL!$C$29, 25.7157, 25.7116) * CHOOSE(CONTROL!$C$12, $D$11, 100%, $F$11)</f>
        <v>25.715699999999998</v>
      </c>
      <c r="I790" s="8">
        <f>CHOOSE( CONTROL!$C$29, 24.4657, 24.4616) * CHOOSE(CONTROL!$C$12, $D$11, 100%, $F$11)</f>
        <v>24.465699999999998</v>
      </c>
      <c r="J790" s="4">
        <f>CHOOSE( CONTROL!$C$29, 24.4246, 24.4205) * CHOOSE(CONTROL!$C$12, $D$11, 100%, $F$11)</f>
        <v>24.424600000000002</v>
      </c>
      <c r="K790" s="4"/>
      <c r="L790" s="9">
        <v>28.568200000000001</v>
      </c>
      <c r="M790" s="9">
        <v>11.6745</v>
      </c>
      <c r="N790" s="9">
        <v>4.7850000000000001</v>
      </c>
      <c r="O790" s="9">
        <v>0.36249999999999999</v>
      </c>
      <c r="P790" s="9">
        <v>1.1798</v>
      </c>
      <c r="Q790" s="9">
        <v>19.053000000000001</v>
      </c>
      <c r="R790" s="9"/>
      <c r="S790" s="11"/>
    </row>
    <row r="791" spans="1:19" ht="15.75">
      <c r="A791" s="13">
        <v>65958</v>
      </c>
      <c r="B791" s="8">
        <f>CHOOSE( CONTROL!$C$29, 26.5917, 26.5875) * CHOOSE(CONTROL!$C$12, $D$11, 100%, $F$11)</f>
        <v>26.591699999999999</v>
      </c>
      <c r="C791" s="8">
        <f>CHOOSE( CONTROL!$C$29, 26.6022, 26.5979) * CHOOSE(CONTROL!$C$12, $D$11, 100%, $F$11)</f>
        <v>26.6022</v>
      </c>
      <c r="D791" s="8">
        <f>CHOOSE( CONTROL!$C$29, 26.6083, 26.604) * CHOOSE( CONTROL!$C$12, $D$11, 100%, $F$11)</f>
        <v>26.6083</v>
      </c>
      <c r="E791" s="12">
        <f>CHOOSE( CONTROL!$C$29, 26.6045, 26.6002) * CHOOSE( CONTROL!$C$12, $D$11, 100%, $F$11)</f>
        <v>26.604500000000002</v>
      </c>
      <c r="F791" s="4">
        <f>CHOOSE( CONTROL!$C$29, 27.6016, 27.5973) * CHOOSE(CONTROL!$C$12, $D$11, 100%, $F$11)</f>
        <v>27.601600000000001</v>
      </c>
      <c r="G791" s="8">
        <f>CHOOSE( CONTROL!$C$29, 25.9216, 25.9175) * CHOOSE( CONTROL!$C$12, $D$11, 100%, $F$11)</f>
        <v>25.921600000000002</v>
      </c>
      <c r="H791" s="4">
        <f>CHOOSE( CONTROL!$C$29, 26.829, 26.8249) * CHOOSE(CONTROL!$C$12, $D$11, 100%, $F$11)</f>
        <v>26.829000000000001</v>
      </c>
      <c r="I791" s="8">
        <f>CHOOSE( CONTROL!$C$29, 25.5723, 25.5683) * CHOOSE(CONTROL!$C$12, $D$11, 100%, $F$11)</f>
        <v>25.572299999999998</v>
      </c>
      <c r="J791" s="4">
        <f>CHOOSE( CONTROL!$C$29, 25.4754, 25.4714) * CHOOSE(CONTROL!$C$12, $D$11, 100%, $F$11)</f>
        <v>25.4754</v>
      </c>
      <c r="K791" s="4"/>
      <c r="L791" s="9">
        <v>29.520499999999998</v>
      </c>
      <c r="M791" s="9">
        <v>12.063700000000001</v>
      </c>
      <c r="N791" s="9">
        <v>4.9444999999999997</v>
      </c>
      <c r="O791" s="9">
        <v>0.37459999999999999</v>
      </c>
      <c r="P791" s="9">
        <v>1.2192000000000001</v>
      </c>
      <c r="Q791" s="9">
        <v>19.688099999999999</v>
      </c>
      <c r="R791" s="9"/>
      <c r="S791" s="11"/>
    </row>
    <row r="792" spans="1:19" ht="15.75">
      <c r="A792" s="13">
        <v>65989</v>
      </c>
      <c r="B792" s="8">
        <f>CHOOSE( CONTROL!$C$29, 24.5398, 24.5355) * CHOOSE(CONTROL!$C$12, $D$11, 100%, $F$11)</f>
        <v>24.5398</v>
      </c>
      <c r="C792" s="8">
        <f>CHOOSE( CONTROL!$C$29, 24.5502, 24.5459) * CHOOSE(CONTROL!$C$12, $D$11, 100%, $F$11)</f>
        <v>24.5502</v>
      </c>
      <c r="D792" s="8">
        <f>CHOOSE( CONTROL!$C$29, 24.5728, 24.5685) * CHOOSE( CONTROL!$C$12, $D$11, 100%, $F$11)</f>
        <v>24.572800000000001</v>
      </c>
      <c r="E792" s="12">
        <f>CHOOSE( CONTROL!$C$29, 24.563, 24.5587) * CHOOSE( CONTROL!$C$12, $D$11, 100%, $F$11)</f>
        <v>24.562999999999999</v>
      </c>
      <c r="F792" s="4">
        <f>CHOOSE( CONTROL!$C$29, 25.5783, 25.5741) * CHOOSE(CONTROL!$C$12, $D$11, 100%, $F$11)</f>
        <v>25.578299999999999</v>
      </c>
      <c r="G792" s="8">
        <f>CHOOSE( CONTROL!$C$29, 23.927, 23.9229) * CHOOSE( CONTROL!$C$12, $D$11, 100%, $F$11)</f>
        <v>23.927</v>
      </c>
      <c r="H792" s="4">
        <f>CHOOSE( CONTROL!$C$29, 24.8568, 24.8526) * CHOOSE(CONTROL!$C$12, $D$11, 100%, $F$11)</f>
        <v>24.8568</v>
      </c>
      <c r="I792" s="8">
        <f>CHOOSE( CONTROL!$C$29, 23.5966, 23.5925) * CHOOSE(CONTROL!$C$12, $D$11, 100%, $F$11)</f>
        <v>23.596599999999999</v>
      </c>
      <c r="J792" s="4">
        <f>CHOOSE( CONTROL!$C$29, 23.5092, 23.5052) * CHOOSE(CONTROL!$C$12, $D$11, 100%, $F$11)</f>
        <v>23.5092</v>
      </c>
      <c r="K792" s="4"/>
      <c r="L792" s="9">
        <v>29.520499999999998</v>
      </c>
      <c r="M792" s="9">
        <v>12.063700000000001</v>
      </c>
      <c r="N792" s="9">
        <v>4.9444999999999997</v>
      </c>
      <c r="O792" s="9">
        <v>0.37459999999999999</v>
      </c>
      <c r="P792" s="9">
        <v>1.2192000000000001</v>
      </c>
      <c r="Q792" s="9">
        <v>19.688099999999999</v>
      </c>
      <c r="R792" s="9"/>
      <c r="S792" s="11"/>
    </row>
    <row r="793" spans="1:19" ht="15.75">
      <c r="A793" s="13">
        <v>66019</v>
      </c>
      <c r="B793" s="8">
        <f>CHOOSE( CONTROL!$C$29, 24.0259, 24.0217) * CHOOSE(CONTROL!$C$12, $D$11, 100%, $F$11)</f>
        <v>24.0259</v>
      </c>
      <c r="C793" s="8">
        <f>CHOOSE( CONTROL!$C$29, 24.0363, 24.0321) * CHOOSE(CONTROL!$C$12, $D$11, 100%, $F$11)</f>
        <v>24.036300000000001</v>
      </c>
      <c r="D793" s="8">
        <f>CHOOSE( CONTROL!$C$29, 24.0589, 24.0547) * CHOOSE( CONTROL!$C$12, $D$11, 100%, $F$11)</f>
        <v>24.058900000000001</v>
      </c>
      <c r="E793" s="12">
        <f>CHOOSE( CONTROL!$C$29, 24.0491, 24.0449) * CHOOSE( CONTROL!$C$12, $D$11, 100%, $F$11)</f>
        <v>24.049099999999999</v>
      </c>
      <c r="F793" s="4">
        <f>CHOOSE( CONTROL!$C$29, 25.0645, 25.0602) * CHOOSE(CONTROL!$C$12, $D$11, 100%, $F$11)</f>
        <v>25.064499999999999</v>
      </c>
      <c r="G793" s="8">
        <f>CHOOSE( CONTROL!$C$29, 23.4258, 23.4217) * CHOOSE( CONTROL!$C$12, $D$11, 100%, $F$11)</f>
        <v>23.425799999999999</v>
      </c>
      <c r="H793" s="4">
        <f>CHOOSE( CONTROL!$C$29, 24.3559, 24.3517) * CHOOSE(CONTROL!$C$12, $D$11, 100%, $F$11)</f>
        <v>24.355899999999998</v>
      </c>
      <c r="I793" s="8">
        <f>CHOOSE( CONTROL!$C$29, 23.1023, 23.0982) * CHOOSE(CONTROL!$C$12, $D$11, 100%, $F$11)</f>
        <v>23.1023</v>
      </c>
      <c r="J793" s="4">
        <f>CHOOSE( CONTROL!$C$29, 23.0169, 23.0128) * CHOOSE(CONTROL!$C$12, $D$11, 100%, $F$11)</f>
        <v>23.0169</v>
      </c>
      <c r="K793" s="4"/>
      <c r="L793" s="9">
        <v>28.568200000000001</v>
      </c>
      <c r="M793" s="9">
        <v>11.6745</v>
      </c>
      <c r="N793" s="9">
        <v>4.7850000000000001</v>
      </c>
      <c r="O793" s="9">
        <v>0.36249999999999999</v>
      </c>
      <c r="P793" s="9">
        <v>1.1798</v>
      </c>
      <c r="Q793" s="9">
        <v>19.053000000000001</v>
      </c>
      <c r="R793" s="9"/>
      <c r="S793" s="11"/>
    </row>
    <row r="794" spans="1:19" ht="15.75">
      <c r="A794" s="13">
        <v>66050</v>
      </c>
      <c r="B794" s="8">
        <f>25.0886 * CHOOSE(CONTROL!$C$12, $D$11, 100%, $F$11)</f>
        <v>25.0886</v>
      </c>
      <c r="C794" s="8">
        <f>25.099 * CHOOSE(CONTROL!$C$12, $D$11, 100%, $F$11)</f>
        <v>25.099</v>
      </c>
      <c r="D794" s="8">
        <f>25.1034 * CHOOSE( CONTROL!$C$12, $D$11, 100%, $F$11)</f>
        <v>25.103400000000001</v>
      </c>
      <c r="E794" s="12">
        <f>25.1008 * CHOOSE( CONTROL!$C$12, $D$11, 100%, $F$11)</f>
        <v>25.1008</v>
      </c>
      <c r="F794" s="4">
        <f>26.0958 * CHOOSE(CONTROL!$C$12, $D$11, 100%, $F$11)</f>
        <v>26.095800000000001</v>
      </c>
      <c r="G794" s="8">
        <f>24.4519 * CHOOSE( CONTROL!$C$12, $D$11, 100%, $F$11)</f>
        <v>24.451899999999998</v>
      </c>
      <c r="H794" s="4">
        <f>25.3612 * CHOOSE(CONTROL!$C$12, $D$11, 100%, $F$11)</f>
        <v>25.3612</v>
      </c>
      <c r="I794" s="8">
        <f>24.1177 * CHOOSE(CONTROL!$C$12, $D$11, 100%, $F$11)</f>
        <v>24.117699999999999</v>
      </c>
      <c r="J794" s="4">
        <f>24.0351 * CHOOSE(CONTROL!$C$12, $D$11, 100%, $F$11)</f>
        <v>24.0351</v>
      </c>
      <c r="K794" s="4"/>
      <c r="L794" s="9">
        <v>28.921800000000001</v>
      </c>
      <c r="M794" s="9">
        <v>12.063700000000001</v>
      </c>
      <c r="N794" s="9">
        <v>4.9444999999999997</v>
      </c>
      <c r="O794" s="9">
        <v>0.37459999999999999</v>
      </c>
      <c r="P794" s="9">
        <v>1.2192000000000001</v>
      </c>
      <c r="Q794" s="9">
        <v>19.688099999999999</v>
      </c>
      <c r="R794" s="9"/>
      <c r="S794" s="11"/>
    </row>
    <row r="795" spans="1:19" ht="15.75">
      <c r="A795" s="13">
        <v>66080</v>
      </c>
      <c r="B795" s="8">
        <f>27.0579 * CHOOSE(CONTROL!$C$12, $D$11, 100%, $F$11)</f>
        <v>27.0579</v>
      </c>
      <c r="C795" s="8">
        <f>27.0683 * CHOOSE(CONTROL!$C$12, $D$11, 100%, $F$11)</f>
        <v>27.068300000000001</v>
      </c>
      <c r="D795" s="8">
        <f>27.0507 * CHOOSE( CONTROL!$C$12, $D$11, 100%, $F$11)</f>
        <v>27.050699999999999</v>
      </c>
      <c r="E795" s="12">
        <f>27.056 * CHOOSE( CONTROL!$C$12, $D$11, 100%, $F$11)</f>
        <v>27.056000000000001</v>
      </c>
      <c r="F795" s="4">
        <f>28.0521 * CHOOSE(CONTROL!$C$12, $D$11, 100%, $F$11)</f>
        <v>28.052099999999999</v>
      </c>
      <c r="G795" s="8">
        <f>26.384 * CHOOSE( CONTROL!$C$12, $D$11, 100%, $F$11)</f>
        <v>26.384</v>
      </c>
      <c r="H795" s="4">
        <f>27.2681 * CHOOSE(CONTROL!$C$12, $D$11, 100%, $F$11)</f>
        <v>27.2681</v>
      </c>
      <c r="I795" s="8">
        <f>26.0291 * CHOOSE(CONTROL!$C$12, $D$11, 100%, $F$11)</f>
        <v>26.0291</v>
      </c>
      <c r="J795" s="4">
        <f>25.9221 * CHOOSE(CONTROL!$C$12, $D$11, 100%, $F$11)</f>
        <v>25.9221</v>
      </c>
      <c r="K795" s="4"/>
      <c r="L795" s="9">
        <v>26.515499999999999</v>
      </c>
      <c r="M795" s="9">
        <v>11.6745</v>
      </c>
      <c r="N795" s="9">
        <v>4.7850000000000001</v>
      </c>
      <c r="O795" s="9">
        <v>0.36249999999999999</v>
      </c>
      <c r="P795" s="9">
        <v>1.2522</v>
      </c>
      <c r="Q795" s="9">
        <v>19.053000000000001</v>
      </c>
      <c r="R795" s="9"/>
      <c r="S795" s="11"/>
    </row>
    <row r="796" spans="1:19" ht="15.75">
      <c r="A796" s="13">
        <v>66111</v>
      </c>
      <c r="B796" s="8">
        <f>27.0087 * CHOOSE(CONTROL!$C$12, $D$11, 100%, $F$11)</f>
        <v>27.008700000000001</v>
      </c>
      <c r="C796" s="8">
        <f>27.0191 * CHOOSE(CONTROL!$C$12, $D$11, 100%, $F$11)</f>
        <v>27.019100000000002</v>
      </c>
      <c r="D796" s="8">
        <f>27.0035 * CHOOSE( CONTROL!$C$12, $D$11, 100%, $F$11)</f>
        <v>27.003499999999999</v>
      </c>
      <c r="E796" s="12">
        <f>27.0081 * CHOOSE( CONTROL!$C$12, $D$11, 100%, $F$11)</f>
        <v>27.008099999999999</v>
      </c>
      <c r="F796" s="4">
        <f>28.0029 * CHOOSE(CONTROL!$C$12, $D$11, 100%, $F$11)</f>
        <v>28.0029</v>
      </c>
      <c r="G796" s="8">
        <f>26.3376 * CHOOSE( CONTROL!$C$12, $D$11, 100%, $F$11)</f>
        <v>26.337599999999998</v>
      </c>
      <c r="H796" s="4">
        <f>27.2202 * CHOOSE(CONTROL!$C$12, $D$11, 100%, $F$11)</f>
        <v>27.220199999999998</v>
      </c>
      <c r="I796" s="8">
        <f>25.9891 * CHOOSE(CONTROL!$C$12, $D$11, 100%, $F$11)</f>
        <v>25.989100000000001</v>
      </c>
      <c r="J796" s="4">
        <f>25.8749 * CHOOSE(CONTROL!$C$12, $D$11, 100%, $F$11)</f>
        <v>25.8749</v>
      </c>
      <c r="K796" s="4"/>
      <c r="L796" s="9">
        <v>27.3993</v>
      </c>
      <c r="M796" s="9">
        <v>12.063700000000001</v>
      </c>
      <c r="N796" s="9">
        <v>4.9444999999999997</v>
      </c>
      <c r="O796" s="9">
        <v>0.37459999999999999</v>
      </c>
      <c r="P796" s="9">
        <v>1.2939000000000001</v>
      </c>
      <c r="Q796" s="9">
        <v>19.688099999999999</v>
      </c>
      <c r="R796" s="9"/>
      <c r="S796" s="11"/>
    </row>
    <row r="797" spans="1:19" ht="15.75">
      <c r="A797" s="13">
        <v>66142</v>
      </c>
      <c r="B797" s="8">
        <f>28.0407 * CHOOSE(CONTROL!$C$12, $D$11, 100%, $F$11)</f>
        <v>28.040700000000001</v>
      </c>
      <c r="C797" s="8">
        <f>28.0512 * CHOOSE(CONTROL!$C$12, $D$11, 100%, $F$11)</f>
        <v>28.051200000000001</v>
      </c>
      <c r="D797" s="8">
        <f>28.0488 * CHOOSE( CONTROL!$C$12, $D$11, 100%, $F$11)</f>
        <v>28.0488</v>
      </c>
      <c r="E797" s="12">
        <f>28.0486 * CHOOSE( CONTROL!$C$12, $D$11, 100%, $F$11)</f>
        <v>28.0486</v>
      </c>
      <c r="F797" s="4">
        <f>29.0636 * CHOOSE(CONTROL!$C$12, $D$11, 100%, $F$11)</f>
        <v>29.063600000000001</v>
      </c>
      <c r="G797" s="8">
        <f>27.3608 * CHOOSE( CONTROL!$C$12, $D$11, 100%, $F$11)</f>
        <v>27.360800000000001</v>
      </c>
      <c r="H797" s="4">
        <f>28.2542 * CHOOSE(CONTROL!$C$12, $D$11, 100%, $F$11)</f>
        <v>28.254200000000001</v>
      </c>
      <c r="I797" s="8">
        <f>26.9859 * CHOOSE(CONTROL!$C$12, $D$11, 100%, $F$11)</f>
        <v>26.985900000000001</v>
      </c>
      <c r="J797" s="4">
        <f>26.8639 * CHOOSE(CONTROL!$C$12, $D$11, 100%, $F$11)</f>
        <v>26.863900000000001</v>
      </c>
      <c r="K797" s="4"/>
      <c r="L797" s="9">
        <v>27.3993</v>
      </c>
      <c r="M797" s="9">
        <v>12.063700000000001</v>
      </c>
      <c r="N797" s="9">
        <v>4.9444999999999997</v>
      </c>
      <c r="O797" s="9">
        <v>0.37459999999999999</v>
      </c>
      <c r="P797" s="9">
        <v>1.2939000000000001</v>
      </c>
      <c r="Q797" s="9">
        <v>19.688099999999999</v>
      </c>
      <c r="R797" s="9"/>
      <c r="S797" s="11"/>
    </row>
    <row r="798" spans="1:19" ht="15.75">
      <c r="A798" s="13">
        <v>66170</v>
      </c>
      <c r="B798" s="8">
        <f>26.2283 * CHOOSE(CONTROL!$C$12, $D$11, 100%, $F$11)</f>
        <v>26.228300000000001</v>
      </c>
      <c r="C798" s="8">
        <f>26.2387 * CHOOSE(CONTROL!$C$12, $D$11, 100%, $F$11)</f>
        <v>26.238700000000001</v>
      </c>
      <c r="D798" s="8">
        <f>26.2387 * CHOOSE( CONTROL!$C$12, $D$11, 100%, $F$11)</f>
        <v>26.238700000000001</v>
      </c>
      <c r="E798" s="12">
        <f>26.2376 * CHOOSE( CONTROL!$C$12, $D$11, 100%, $F$11)</f>
        <v>26.2376</v>
      </c>
      <c r="F798" s="4">
        <f>27.2433 * CHOOSE(CONTROL!$C$12, $D$11, 100%, $F$11)</f>
        <v>27.243300000000001</v>
      </c>
      <c r="G798" s="8">
        <f>25.5939 * CHOOSE( CONTROL!$C$12, $D$11, 100%, $F$11)</f>
        <v>25.593900000000001</v>
      </c>
      <c r="H798" s="4">
        <f>26.4798 * CHOOSE(CONTROL!$C$12, $D$11, 100%, $F$11)</f>
        <v>26.479800000000001</v>
      </c>
      <c r="I798" s="8">
        <f>25.2374 * CHOOSE(CONTROL!$C$12, $D$11, 100%, $F$11)</f>
        <v>25.237400000000001</v>
      </c>
      <c r="J798" s="4">
        <f>25.1272 * CHOOSE(CONTROL!$C$12, $D$11, 100%, $F$11)</f>
        <v>25.127199999999998</v>
      </c>
      <c r="K798" s="4"/>
      <c r="L798" s="9">
        <v>24.747800000000002</v>
      </c>
      <c r="M798" s="9">
        <v>10.8962</v>
      </c>
      <c r="N798" s="9">
        <v>4.4660000000000002</v>
      </c>
      <c r="O798" s="9">
        <v>0.33829999999999999</v>
      </c>
      <c r="P798" s="9">
        <v>1.1687000000000001</v>
      </c>
      <c r="Q798" s="9">
        <v>17.782800000000002</v>
      </c>
      <c r="R798" s="9"/>
      <c r="S798" s="11"/>
    </row>
    <row r="799" spans="1:19" ht="15.75">
      <c r="A799" s="13">
        <v>66201</v>
      </c>
      <c r="B799" s="8">
        <f>25.67 * CHOOSE(CONTROL!$C$12, $D$11, 100%, $F$11)</f>
        <v>25.67</v>
      </c>
      <c r="C799" s="8">
        <f>25.6805 * CHOOSE(CONTROL!$C$12, $D$11, 100%, $F$11)</f>
        <v>25.680499999999999</v>
      </c>
      <c r="D799" s="8">
        <f>25.6603 * CHOOSE( CONTROL!$C$12, $D$11, 100%, $F$11)</f>
        <v>25.660299999999999</v>
      </c>
      <c r="E799" s="12">
        <f>25.6666 * CHOOSE( CONTROL!$C$12, $D$11, 100%, $F$11)</f>
        <v>25.666599999999999</v>
      </c>
      <c r="F799" s="4">
        <f>26.6689 * CHOOSE(CONTROL!$C$12, $D$11, 100%, $F$11)</f>
        <v>26.668900000000001</v>
      </c>
      <c r="G799" s="8">
        <f>25.0293 * CHOOSE( CONTROL!$C$12, $D$11, 100%, $F$11)</f>
        <v>25.029299999999999</v>
      </c>
      <c r="H799" s="4">
        <f>25.9199 * CHOOSE(CONTROL!$C$12, $D$11, 100%, $F$11)</f>
        <v>25.919899999999998</v>
      </c>
      <c r="I799" s="8">
        <f>24.6627 * CHOOSE(CONTROL!$C$12, $D$11, 100%, $F$11)</f>
        <v>24.662700000000001</v>
      </c>
      <c r="J799" s="4">
        <f>24.5923 * CHOOSE(CONTROL!$C$12, $D$11, 100%, $F$11)</f>
        <v>24.592300000000002</v>
      </c>
      <c r="K799" s="4"/>
      <c r="L799" s="9">
        <v>27.3993</v>
      </c>
      <c r="M799" s="9">
        <v>12.063700000000001</v>
      </c>
      <c r="N799" s="9">
        <v>4.9444999999999997</v>
      </c>
      <c r="O799" s="9">
        <v>0.37459999999999999</v>
      </c>
      <c r="P799" s="9">
        <v>1.2939000000000001</v>
      </c>
      <c r="Q799" s="9">
        <v>19.688099999999999</v>
      </c>
      <c r="R799" s="9"/>
      <c r="S799" s="11"/>
    </row>
    <row r="800" spans="1:19" ht="15.75">
      <c r="A800" s="13">
        <v>66231</v>
      </c>
      <c r="B800" s="8">
        <f>26.0601 * CHOOSE(CONTROL!$C$12, $D$11, 100%, $F$11)</f>
        <v>26.060099999999998</v>
      </c>
      <c r="C800" s="8">
        <f>26.0706 * CHOOSE(CONTROL!$C$12, $D$11, 100%, $F$11)</f>
        <v>26.070599999999999</v>
      </c>
      <c r="D800" s="8">
        <f>26.0738 * CHOOSE( CONTROL!$C$12, $D$11, 100%, $F$11)</f>
        <v>26.073799999999999</v>
      </c>
      <c r="E800" s="12">
        <f>26.0715 * CHOOSE( CONTROL!$C$12, $D$11, 100%, $F$11)</f>
        <v>26.0715</v>
      </c>
      <c r="F800" s="4">
        <f>27.0674 * CHOOSE(CONTROL!$C$12, $D$11, 100%, $F$11)</f>
        <v>27.067399999999999</v>
      </c>
      <c r="G800" s="8">
        <f>25.3974 * CHOOSE( CONTROL!$C$12, $D$11, 100%, $F$11)</f>
        <v>25.397400000000001</v>
      </c>
      <c r="H800" s="4">
        <f>26.3082 * CHOOSE(CONTROL!$C$12, $D$11, 100%, $F$11)</f>
        <v>26.308199999999999</v>
      </c>
      <c r="I800" s="8">
        <f>25.0268 * CHOOSE(CONTROL!$C$12, $D$11, 100%, $F$11)</f>
        <v>25.026800000000001</v>
      </c>
      <c r="J800" s="4">
        <f>24.966 * CHOOSE(CONTROL!$C$12, $D$11, 100%, $F$11)</f>
        <v>24.966000000000001</v>
      </c>
      <c r="K800" s="4"/>
      <c r="L800" s="9">
        <v>27.988800000000001</v>
      </c>
      <c r="M800" s="9">
        <v>11.6745</v>
      </c>
      <c r="N800" s="9">
        <v>4.7850000000000001</v>
      </c>
      <c r="O800" s="9">
        <v>0.36249999999999999</v>
      </c>
      <c r="P800" s="9">
        <v>1.1798</v>
      </c>
      <c r="Q800" s="9">
        <v>19.053000000000001</v>
      </c>
      <c r="R800" s="9"/>
      <c r="S800" s="11"/>
    </row>
    <row r="801" spans="1:19" ht="15.75">
      <c r="A801" s="13">
        <v>66262</v>
      </c>
      <c r="B801" s="8">
        <f>CHOOSE( CONTROL!$C$29, 26.7586, 26.7544) * CHOOSE(CONTROL!$C$12, $D$11, 100%, $F$11)</f>
        <v>26.758600000000001</v>
      </c>
      <c r="C801" s="8">
        <f>CHOOSE( CONTROL!$C$29, 26.769, 26.7648) * CHOOSE(CONTROL!$C$12, $D$11, 100%, $F$11)</f>
        <v>26.768999999999998</v>
      </c>
      <c r="D801" s="8">
        <f>CHOOSE( CONTROL!$C$29, 26.747, 26.7427) * CHOOSE( CONTROL!$C$12, $D$11, 100%, $F$11)</f>
        <v>26.747</v>
      </c>
      <c r="E801" s="12">
        <f>CHOOSE( CONTROL!$C$29, 26.7534, 26.7491) * CHOOSE( CONTROL!$C$12, $D$11, 100%, $F$11)</f>
        <v>26.753399999999999</v>
      </c>
      <c r="F801" s="4">
        <f>CHOOSE( CONTROL!$C$29, 27.7335, 27.7293) * CHOOSE(CONTROL!$C$12, $D$11, 100%, $F$11)</f>
        <v>27.733499999999999</v>
      </c>
      <c r="G801" s="8">
        <f>CHOOSE( CONTROL!$C$29, 26.0595, 26.0554) * CHOOSE( CONTROL!$C$12, $D$11, 100%, $F$11)</f>
        <v>26.0595</v>
      </c>
      <c r="H801" s="4">
        <f>CHOOSE( CONTROL!$C$29, 26.9576, 26.9535) * CHOOSE(CONTROL!$C$12, $D$11, 100%, $F$11)</f>
        <v>26.957599999999999</v>
      </c>
      <c r="I801" s="8">
        <f>CHOOSE( CONTROL!$C$29, 25.6749, 25.6708) * CHOOSE(CONTROL!$C$12, $D$11, 100%, $F$11)</f>
        <v>25.674900000000001</v>
      </c>
      <c r="J801" s="4">
        <f>CHOOSE( CONTROL!$C$29, 25.6353, 25.6313) * CHOOSE(CONTROL!$C$12, $D$11, 100%, $F$11)</f>
        <v>25.635300000000001</v>
      </c>
      <c r="K801" s="4"/>
      <c r="L801" s="9">
        <v>29.520499999999998</v>
      </c>
      <c r="M801" s="9">
        <v>12.063700000000001</v>
      </c>
      <c r="N801" s="9">
        <v>4.9444999999999997</v>
      </c>
      <c r="O801" s="9">
        <v>0.37459999999999999</v>
      </c>
      <c r="P801" s="9">
        <v>1.2192000000000001</v>
      </c>
      <c r="Q801" s="9">
        <v>19.688099999999999</v>
      </c>
      <c r="R801" s="9"/>
      <c r="S801" s="11"/>
    </row>
    <row r="802" spans="1:19" ht="15.75">
      <c r="A802" s="13">
        <v>66292</v>
      </c>
      <c r="B802" s="8">
        <f>CHOOSE( CONTROL!$C$29, 26.3285, 26.3243) * CHOOSE(CONTROL!$C$12, $D$11, 100%, $F$11)</f>
        <v>26.328499999999998</v>
      </c>
      <c r="C802" s="8">
        <f>CHOOSE( CONTROL!$C$29, 26.339, 26.3347) * CHOOSE(CONTROL!$C$12, $D$11, 100%, $F$11)</f>
        <v>26.338999999999999</v>
      </c>
      <c r="D802" s="8">
        <f>CHOOSE( CONTROL!$C$29, 26.3113, 26.3071) * CHOOSE( CONTROL!$C$12, $D$11, 100%, $F$11)</f>
        <v>26.311299999999999</v>
      </c>
      <c r="E802" s="12">
        <f>CHOOSE( CONTROL!$C$29, 26.3197, 26.3155) * CHOOSE( CONTROL!$C$12, $D$11, 100%, $F$11)</f>
        <v>26.319700000000001</v>
      </c>
      <c r="F802" s="4">
        <f>CHOOSE( CONTROL!$C$29, 27.293, 27.2888) * CHOOSE(CONTROL!$C$12, $D$11, 100%, $F$11)</f>
        <v>27.292999999999999</v>
      </c>
      <c r="G802" s="8">
        <f>CHOOSE( CONTROL!$C$29, 25.639, 25.6349) * CHOOSE( CONTROL!$C$12, $D$11, 100%, $F$11)</f>
        <v>25.638999999999999</v>
      </c>
      <c r="H802" s="4">
        <f>CHOOSE( CONTROL!$C$29, 26.5282, 26.5241) * CHOOSE(CONTROL!$C$12, $D$11, 100%, $F$11)</f>
        <v>26.528199999999998</v>
      </c>
      <c r="I802" s="8">
        <f>CHOOSE( CONTROL!$C$29, 25.2647, 25.2607) * CHOOSE(CONTROL!$C$12, $D$11, 100%, $F$11)</f>
        <v>25.264700000000001</v>
      </c>
      <c r="J802" s="4">
        <f>CHOOSE( CONTROL!$C$29, 25.2233, 25.2192) * CHOOSE(CONTROL!$C$12, $D$11, 100%, $F$11)</f>
        <v>25.223299999999998</v>
      </c>
      <c r="K802" s="4"/>
      <c r="L802" s="9">
        <v>28.568200000000001</v>
      </c>
      <c r="M802" s="9">
        <v>11.6745</v>
      </c>
      <c r="N802" s="9">
        <v>4.7850000000000001</v>
      </c>
      <c r="O802" s="9">
        <v>0.36249999999999999</v>
      </c>
      <c r="P802" s="9">
        <v>1.1798</v>
      </c>
      <c r="Q802" s="9">
        <v>19.053000000000001</v>
      </c>
      <c r="R802" s="9"/>
      <c r="S802" s="11"/>
    </row>
    <row r="803" spans="1:19" ht="15.75">
      <c r="A803" s="13">
        <v>66323</v>
      </c>
      <c r="B803" s="8">
        <f>CHOOSE( CONTROL!$C$29, 27.4611, 27.4568) * CHOOSE(CONTROL!$C$12, $D$11, 100%, $F$11)</f>
        <v>27.461099999999998</v>
      </c>
      <c r="C803" s="8">
        <f>CHOOSE( CONTROL!$C$29, 27.4715, 27.4673) * CHOOSE(CONTROL!$C$12, $D$11, 100%, $F$11)</f>
        <v>27.471499999999999</v>
      </c>
      <c r="D803" s="8">
        <f>CHOOSE( CONTROL!$C$29, 27.4776, 27.4734) * CHOOSE( CONTROL!$C$12, $D$11, 100%, $F$11)</f>
        <v>27.477599999999999</v>
      </c>
      <c r="E803" s="12">
        <f>CHOOSE( CONTROL!$C$29, 27.4738, 27.4696) * CHOOSE( CONTROL!$C$12, $D$11, 100%, $F$11)</f>
        <v>27.473800000000001</v>
      </c>
      <c r="F803" s="4">
        <f>CHOOSE( CONTROL!$C$29, 28.4709, 28.4667) * CHOOSE(CONTROL!$C$12, $D$11, 100%, $F$11)</f>
        <v>28.4709</v>
      </c>
      <c r="G803" s="8">
        <f>CHOOSE( CONTROL!$C$29, 26.769, 26.7649) * CHOOSE( CONTROL!$C$12, $D$11, 100%, $F$11)</f>
        <v>26.768999999999998</v>
      </c>
      <c r="H803" s="4">
        <f>CHOOSE( CONTROL!$C$29, 27.6764, 27.6723) * CHOOSE(CONTROL!$C$12, $D$11, 100%, $F$11)</f>
        <v>27.676400000000001</v>
      </c>
      <c r="I803" s="8">
        <f>CHOOSE( CONTROL!$C$29, 26.4058, 26.4017) * CHOOSE(CONTROL!$C$12, $D$11, 100%, $F$11)</f>
        <v>26.405799999999999</v>
      </c>
      <c r="J803" s="4">
        <f>CHOOSE( CONTROL!$C$29, 26.3084, 26.3044) * CHOOSE(CONTROL!$C$12, $D$11, 100%, $F$11)</f>
        <v>26.308399999999999</v>
      </c>
      <c r="K803" s="4"/>
      <c r="L803" s="9">
        <v>29.520499999999998</v>
      </c>
      <c r="M803" s="9">
        <v>12.063700000000001</v>
      </c>
      <c r="N803" s="9">
        <v>4.9444999999999997</v>
      </c>
      <c r="O803" s="9">
        <v>0.37459999999999999</v>
      </c>
      <c r="P803" s="9">
        <v>1.2192000000000001</v>
      </c>
      <c r="Q803" s="9">
        <v>19.688099999999999</v>
      </c>
      <c r="R803" s="9"/>
      <c r="S803" s="11"/>
    </row>
    <row r="804" spans="1:19" ht="15.75">
      <c r="A804" s="13">
        <v>66354</v>
      </c>
      <c r="B804" s="8">
        <f>CHOOSE( CONTROL!$C$29, 25.342, 25.3377) * CHOOSE(CONTROL!$C$12, $D$11, 100%, $F$11)</f>
        <v>25.341999999999999</v>
      </c>
      <c r="C804" s="8">
        <f>CHOOSE( CONTROL!$C$29, 25.3524, 25.3482) * CHOOSE(CONTROL!$C$12, $D$11, 100%, $F$11)</f>
        <v>25.352399999999999</v>
      </c>
      <c r="D804" s="8">
        <f>CHOOSE( CONTROL!$C$29, 25.375, 25.3708) * CHOOSE( CONTROL!$C$12, $D$11, 100%, $F$11)</f>
        <v>25.375</v>
      </c>
      <c r="E804" s="12">
        <f>CHOOSE( CONTROL!$C$29, 25.3652, 25.361) * CHOOSE( CONTROL!$C$12, $D$11, 100%, $F$11)</f>
        <v>25.365200000000002</v>
      </c>
      <c r="F804" s="4">
        <f>CHOOSE( CONTROL!$C$29, 26.3806, 26.3763) * CHOOSE(CONTROL!$C$12, $D$11, 100%, $F$11)</f>
        <v>26.380600000000001</v>
      </c>
      <c r="G804" s="8">
        <f>CHOOSE( CONTROL!$C$29, 24.709, 24.7049) * CHOOSE( CONTROL!$C$12, $D$11, 100%, $F$11)</f>
        <v>24.709</v>
      </c>
      <c r="H804" s="4">
        <f>CHOOSE( CONTROL!$C$29, 25.6388, 25.6346) * CHOOSE(CONTROL!$C$12, $D$11, 100%, $F$11)</f>
        <v>25.6388</v>
      </c>
      <c r="I804" s="8">
        <f>CHOOSE( CONTROL!$C$29, 24.3657, 24.3616) * CHOOSE(CONTROL!$C$12, $D$11, 100%, $F$11)</f>
        <v>24.3657</v>
      </c>
      <c r="J804" s="4">
        <f>CHOOSE( CONTROL!$C$29, 24.2779, 24.2739) * CHOOSE(CONTROL!$C$12, $D$11, 100%, $F$11)</f>
        <v>24.277899999999999</v>
      </c>
      <c r="K804" s="4"/>
      <c r="L804" s="9">
        <v>29.520499999999998</v>
      </c>
      <c r="M804" s="9">
        <v>12.063700000000001</v>
      </c>
      <c r="N804" s="9">
        <v>4.9444999999999997</v>
      </c>
      <c r="O804" s="9">
        <v>0.37459999999999999</v>
      </c>
      <c r="P804" s="9">
        <v>1.2192000000000001</v>
      </c>
      <c r="Q804" s="9">
        <v>19.688099999999999</v>
      </c>
      <c r="R804" s="9"/>
      <c r="S804" s="11"/>
    </row>
    <row r="805" spans="1:19" ht="15.75">
      <c r="A805" s="13">
        <v>66384</v>
      </c>
      <c r="B805" s="8">
        <f>CHOOSE( CONTROL!$C$29, 24.8113, 24.8071) * CHOOSE(CONTROL!$C$12, $D$11, 100%, $F$11)</f>
        <v>24.811299999999999</v>
      </c>
      <c r="C805" s="8">
        <f>CHOOSE( CONTROL!$C$29, 24.8218, 24.8175) * CHOOSE(CONTROL!$C$12, $D$11, 100%, $F$11)</f>
        <v>24.8218</v>
      </c>
      <c r="D805" s="8">
        <f>CHOOSE( CONTROL!$C$29, 24.8443, 24.8401) * CHOOSE( CONTROL!$C$12, $D$11, 100%, $F$11)</f>
        <v>24.8443</v>
      </c>
      <c r="E805" s="12">
        <f>CHOOSE( CONTROL!$C$29, 24.8345, 24.8303) * CHOOSE( CONTROL!$C$12, $D$11, 100%, $F$11)</f>
        <v>24.834499999999998</v>
      </c>
      <c r="F805" s="4">
        <f>CHOOSE( CONTROL!$C$29, 25.8499, 25.8457) * CHOOSE(CONTROL!$C$12, $D$11, 100%, $F$11)</f>
        <v>25.849900000000002</v>
      </c>
      <c r="G805" s="8">
        <f>CHOOSE( CONTROL!$C$29, 24.1914, 24.1873) * CHOOSE( CONTROL!$C$12, $D$11, 100%, $F$11)</f>
        <v>24.191400000000002</v>
      </c>
      <c r="H805" s="4">
        <f>CHOOSE( CONTROL!$C$29, 25.1215, 25.1174) * CHOOSE(CONTROL!$C$12, $D$11, 100%, $F$11)</f>
        <v>25.121500000000001</v>
      </c>
      <c r="I805" s="8">
        <f>CHOOSE( CONTROL!$C$29, 23.8553, 23.8512) * CHOOSE(CONTROL!$C$12, $D$11, 100%, $F$11)</f>
        <v>23.8553</v>
      </c>
      <c r="J805" s="4">
        <f>CHOOSE( CONTROL!$C$29, 23.7695, 23.7654) * CHOOSE(CONTROL!$C$12, $D$11, 100%, $F$11)</f>
        <v>23.769500000000001</v>
      </c>
      <c r="K805" s="4"/>
      <c r="L805" s="9">
        <v>28.568200000000001</v>
      </c>
      <c r="M805" s="9">
        <v>11.6745</v>
      </c>
      <c r="N805" s="9">
        <v>4.7850000000000001</v>
      </c>
      <c r="O805" s="9">
        <v>0.36249999999999999</v>
      </c>
      <c r="P805" s="9">
        <v>1.1798</v>
      </c>
      <c r="Q805" s="9">
        <v>19.053000000000001</v>
      </c>
      <c r="R805" s="9"/>
      <c r="S805" s="11"/>
    </row>
    <row r="806" spans="1:19" ht="15.75">
      <c r="A806" s="13">
        <v>66415</v>
      </c>
      <c r="B806" s="8">
        <f>25.9089 * CHOOSE(CONTROL!$C$12, $D$11, 100%, $F$11)</f>
        <v>25.908899999999999</v>
      </c>
      <c r="C806" s="8">
        <f>25.9193 * CHOOSE(CONTROL!$C$12, $D$11, 100%, $F$11)</f>
        <v>25.9193</v>
      </c>
      <c r="D806" s="8">
        <f>25.9238 * CHOOSE( CONTROL!$C$12, $D$11, 100%, $F$11)</f>
        <v>25.9238</v>
      </c>
      <c r="E806" s="12">
        <f>25.9212 * CHOOSE( CONTROL!$C$12, $D$11, 100%, $F$11)</f>
        <v>25.921199999999999</v>
      </c>
      <c r="F806" s="4">
        <f>26.9162 * CHOOSE(CONTROL!$C$12, $D$11, 100%, $F$11)</f>
        <v>26.9162</v>
      </c>
      <c r="G806" s="8">
        <f>25.2516 * CHOOSE( CONTROL!$C$12, $D$11, 100%, $F$11)</f>
        <v>25.2516</v>
      </c>
      <c r="H806" s="4">
        <f>26.1608 * CHOOSE(CONTROL!$C$12, $D$11, 100%, $F$11)</f>
        <v>26.160799999999998</v>
      </c>
      <c r="I806" s="8">
        <f>24.9041 * CHOOSE(CONTROL!$C$12, $D$11, 100%, $F$11)</f>
        <v>24.9041</v>
      </c>
      <c r="J806" s="4">
        <f>24.8212 * CHOOSE(CONTROL!$C$12, $D$11, 100%, $F$11)</f>
        <v>24.821200000000001</v>
      </c>
      <c r="K806" s="4"/>
      <c r="L806" s="9">
        <v>28.921800000000001</v>
      </c>
      <c r="M806" s="9">
        <v>12.063700000000001</v>
      </c>
      <c r="N806" s="9">
        <v>4.9444999999999997</v>
      </c>
      <c r="O806" s="9">
        <v>0.37459999999999999</v>
      </c>
      <c r="P806" s="9">
        <v>1.2192000000000001</v>
      </c>
      <c r="Q806" s="9">
        <v>19.688099999999999</v>
      </c>
      <c r="R806" s="9"/>
      <c r="S806" s="11"/>
    </row>
    <row r="807" spans="1:19" ht="15.75">
      <c r="A807" s="13">
        <v>66445</v>
      </c>
      <c r="B807" s="8">
        <f>27.9426 * CHOOSE(CONTROL!$C$12, $D$11, 100%, $F$11)</f>
        <v>27.942599999999999</v>
      </c>
      <c r="C807" s="8">
        <f>27.953 * CHOOSE(CONTROL!$C$12, $D$11, 100%, $F$11)</f>
        <v>27.952999999999999</v>
      </c>
      <c r="D807" s="8">
        <f>27.9354 * CHOOSE( CONTROL!$C$12, $D$11, 100%, $F$11)</f>
        <v>27.935400000000001</v>
      </c>
      <c r="E807" s="12">
        <f>27.9407 * CHOOSE( CONTROL!$C$12, $D$11, 100%, $F$11)</f>
        <v>27.9407</v>
      </c>
      <c r="F807" s="4">
        <f>28.9368 * CHOOSE(CONTROL!$C$12, $D$11, 100%, $F$11)</f>
        <v>28.936800000000002</v>
      </c>
      <c r="G807" s="8">
        <f>27.2464 * CHOOSE( CONTROL!$C$12, $D$11, 100%, $F$11)</f>
        <v>27.246400000000001</v>
      </c>
      <c r="H807" s="4">
        <f>28.1305 * CHOOSE(CONTROL!$C$12, $D$11, 100%, $F$11)</f>
        <v>28.130500000000001</v>
      </c>
      <c r="I807" s="8">
        <f>26.8772 * CHOOSE(CONTROL!$C$12, $D$11, 100%, $F$11)</f>
        <v>26.877199999999998</v>
      </c>
      <c r="J807" s="4">
        <f>26.7698 * CHOOSE(CONTROL!$C$12, $D$11, 100%, $F$11)</f>
        <v>26.7698</v>
      </c>
      <c r="K807" s="4"/>
      <c r="L807" s="9">
        <v>26.515499999999999</v>
      </c>
      <c r="M807" s="9">
        <v>11.6745</v>
      </c>
      <c r="N807" s="9">
        <v>4.7850000000000001</v>
      </c>
      <c r="O807" s="9">
        <v>0.36249999999999999</v>
      </c>
      <c r="P807" s="9">
        <v>1.2522</v>
      </c>
      <c r="Q807" s="9">
        <v>19.053000000000001</v>
      </c>
      <c r="R807" s="9"/>
      <c r="S807" s="11"/>
    </row>
    <row r="808" spans="1:19" ht="15.75">
      <c r="A808" s="13">
        <v>66476</v>
      </c>
      <c r="B808" s="8">
        <f>27.8918 * CHOOSE(CONTROL!$C$12, $D$11, 100%, $F$11)</f>
        <v>27.8918</v>
      </c>
      <c r="C808" s="8">
        <f>27.9022 * CHOOSE(CONTROL!$C$12, $D$11, 100%, $F$11)</f>
        <v>27.902200000000001</v>
      </c>
      <c r="D808" s="8">
        <f>27.8866 * CHOOSE( CONTROL!$C$12, $D$11, 100%, $F$11)</f>
        <v>27.886600000000001</v>
      </c>
      <c r="E808" s="12">
        <f>27.8912 * CHOOSE( CONTROL!$C$12, $D$11, 100%, $F$11)</f>
        <v>27.891200000000001</v>
      </c>
      <c r="F808" s="4">
        <f>28.886 * CHOOSE(CONTROL!$C$12, $D$11, 100%, $F$11)</f>
        <v>28.885999999999999</v>
      </c>
      <c r="G808" s="8">
        <f>27.1984 * CHOOSE( CONTROL!$C$12, $D$11, 100%, $F$11)</f>
        <v>27.198399999999999</v>
      </c>
      <c r="H808" s="4">
        <f>28.081 * CHOOSE(CONTROL!$C$12, $D$11, 100%, $F$11)</f>
        <v>28.081</v>
      </c>
      <c r="I808" s="8">
        <f>26.8358 * CHOOSE(CONTROL!$C$12, $D$11, 100%, $F$11)</f>
        <v>26.835799999999999</v>
      </c>
      <c r="J808" s="4">
        <f>26.7212 * CHOOSE(CONTROL!$C$12, $D$11, 100%, $F$11)</f>
        <v>26.7212</v>
      </c>
      <c r="K808" s="4"/>
      <c r="L808" s="9">
        <v>27.3993</v>
      </c>
      <c r="M808" s="9">
        <v>12.063700000000001</v>
      </c>
      <c r="N808" s="9">
        <v>4.9444999999999997</v>
      </c>
      <c r="O808" s="9">
        <v>0.37459999999999999</v>
      </c>
      <c r="P808" s="9">
        <v>1.2939000000000001</v>
      </c>
      <c r="Q808" s="9">
        <v>19.688099999999999</v>
      </c>
      <c r="R808" s="9"/>
      <c r="S808" s="11"/>
    </row>
    <row r="809" spans="1:19" ht="15.75">
      <c r="A809" s="13">
        <v>66507</v>
      </c>
      <c r="B809" s="8">
        <f>28.9576 * CHOOSE(CONTROL!$C$12, $D$11, 100%, $F$11)</f>
        <v>28.957599999999999</v>
      </c>
      <c r="C809" s="8">
        <f>28.968 * CHOOSE(CONTROL!$C$12, $D$11, 100%, $F$11)</f>
        <v>28.968</v>
      </c>
      <c r="D809" s="8">
        <f>28.9657 * CHOOSE( CONTROL!$C$12, $D$11, 100%, $F$11)</f>
        <v>28.965699999999998</v>
      </c>
      <c r="E809" s="12">
        <f>28.9654 * CHOOSE( CONTROL!$C$12, $D$11, 100%, $F$11)</f>
        <v>28.965399999999999</v>
      </c>
      <c r="F809" s="4">
        <f>29.9805 * CHOOSE(CONTROL!$C$12, $D$11, 100%, $F$11)</f>
        <v>29.980499999999999</v>
      </c>
      <c r="G809" s="8">
        <f>28.2545 * CHOOSE( CONTROL!$C$12, $D$11, 100%, $F$11)</f>
        <v>28.2545</v>
      </c>
      <c r="H809" s="4">
        <f>29.1479 * CHOOSE(CONTROL!$C$12, $D$11, 100%, $F$11)</f>
        <v>29.1479</v>
      </c>
      <c r="I809" s="8">
        <f>27.8649 * CHOOSE(CONTROL!$C$12, $D$11, 100%, $F$11)</f>
        <v>27.864899999999999</v>
      </c>
      <c r="J809" s="4">
        <f>27.7424 * CHOOSE(CONTROL!$C$12, $D$11, 100%, $F$11)</f>
        <v>27.7424</v>
      </c>
      <c r="K809" s="4"/>
      <c r="L809" s="9">
        <v>27.3993</v>
      </c>
      <c r="M809" s="9">
        <v>12.063700000000001</v>
      </c>
      <c r="N809" s="9">
        <v>4.9444999999999997</v>
      </c>
      <c r="O809" s="9">
        <v>0.37459999999999999</v>
      </c>
      <c r="P809" s="9">
        <v>1.2939000000000001</v>
      </c>
      <c r="Q809" s="9">
        <v>19.688099999999999</v>
      </c>
      <c r="R809" s="9"/>
      <c r="S809" s="11"/>
    </row>
    <row r="810" spans="1:19" ht="15.75">
      <c r="A810" s="13">
        <v>66535</v>
      </c>
      <c r="B810" s="8">
        <f>27.0859 * CHOOSE(CONTROL!$C$12, $D$11, 100%, $F$11)</f>
        <v>27.085899999999999</v>
      </c>
      <c r="C810" s="8">
        <f>27.0963 * CHOOSE(CONTROL!$C$12, $D$11, 100%, $F$11)</f>
        <v>27.096299999999999</v>
      </c>
      <c r="D810" s="8">
        <f>27.0963 * CHOOSE( CONTROL!$C$12, $D$11, 100%, $F$11)</f>
        <v>27.096299999999999</v>
      </c>
      <c r="E810" s="12">
        <f>27.0952 * CHOOSE( CONTROL!$C$12, $D$11, 100%, $F$11)</f>
        <v>27.095199999999998</v>
      </c>
      <c r="F810" s="4">
        <f>28.1009 * CHOOSE(CONTROL!$C$12, $D$11, 100%, $F$11)</f>
        <v>28.100899999999999</v>
      </c>
      <c r="G810" s="8">
        <f>26.4299 * CHOOSE( CONTROL!$C$12, $D$11, 100%, $F$11)</f>
        <v>26.4299</v>
      </c>
      <c r="H810" s="4">
        <f>27.3157 * CHOOSE(CONTROL!$C$12, $D$11, 100%, $F$11)</f>
        <v>27.3157</v>
      </c>
      <c r="I810" s="8">
        <f>26.0596 * CHOOSE(CONTROL!$C$12, $D$11, 100%, $F$11)</f>
        <v>26.0596</v>
      </c>
      <c r="J810" s="4">
        <f>25.9489 * CHOOSE(CONTROL!$C$12, $D$11, 100%, $F$11)</f>
        <v>25.948899999999998</v>
      </c>
      <c r="K810" s="4"/>
      <c r="L810" s="9">
        <v>24.747800000000002</v>
      </c>
      <c r="M810" s="9">
        <v>10.8962</v>
      </c>
      <c r="N810" s="9">
        <v>4.4660000000000002</v>
      </c>
      <c r="O810" s="9">
        <v>0.33829999999999999</v>
      </c>
      <c r="P810" s="9">
        <v>1.1687000000000001</v>
      </c>
      <c r="Q810" s="9">
        <v>17.782800000000002</v>
      </c>
      <c r="R810" s="9"/>
      <c r="S810" s="11"/>
    </row>
    <row r="811" spans="1:19" ht="15.75">
      <c r="A811" s="13">
        <v>66566</v>
      </c>
      <c r="B811" s="8">
        <f>26.5094 * CHOOSE(CONTROL!$C$12, $D$11, 100%, $F$11)</f>
        <v>26.509399999999999</v>
      </c>
      <c r="C811" s="8">
        <f>26.5198 * CHOOSE(CONTROL!$C$12, $D$11, 100%, $F$11)</f>
        <v>26.5198</v>
      </c>
      <c r="D811" s="8">
        <f>26.4997 * CHOOSE( CONTROL!$C$12, $D$11, 100%, $F$11)</f>
        <v>26.499700000000001</v>
      </c>
      <c r="E811" s="12">
        <f>26.5059 * CHOOSE( CONTROL!$C$12, $D$11, 100%, $F$11)</f>
        <v>26.5059</v>
      </c>
      <c r="F811" s="4">
        <f>27.5083 * CHOOSE(CONTROL!$C$12, $D$11, 100%, $F$11)</f>
        <v>27.508299999999998</v>
      </c>
      <c r="G811" s="8">
        <f>25.8474 * CHOOSE( CONTROL!$C$12, $D$11, 100%, $F$11)</f>
        <v>25.8474</v>
      </c>
      <c r="H811" s="4">
        <f>26.738 * CHOOSE(CONTROL!$C$12, $D$11, 100%, $F$11)</f>
        <v>26.738</v>
      </c>
      <c r="I811" s="8">
        <f>25.4674 * CHOOSE(CONTROL!$C$12, $D$11, 100%, $F$11)</f>
        <v>25.467400000000001</v>
      </c>
      <c r="J811" s="4">
        <f>25.3965 * CHOOSE(CONTROL!$C$12, $D$11, 100%, $F$11)</f>
        <v>25.3965</v>
      </c>
      <c r="K811" s="4"/>
      <c r="L811" s="9">
        <v>27.3993</v>
      </c>
      <c r="M811" s="9">
        <v>12.063700000000001</v>
      </c>
      <c r="N811" s="9">
        <v>4.9444999999999997</v>
      </c>
      <c r="O811" s="9">
        <v>0.37459999999999999</v>
      </c>
      <c r="P811" s="9">
        <v>1.2939000000000001</v>
      </c>
      <c r="Q811" s="9">
        <v>19.688099999999999</v>
      </c>
      <c r="R811" s="9"/>
      <c r="S811" s="11"/>
    </row>
    <row r="812" spans="1:19" ht="15.75">
      <c r="A812" s="13">
        <v>66596</v>
      </c>
      <c r="B812" s="8">
        <f>26.9122 * CHOOSE(CONTROL!$C$12, $D$11, 100%, $F$11)</f>
        <v>26.912199999999999</v>
      </c>
      <c r="C812" s="8">
        <f>26.9227 * CHOOSE(CONTROL!$C$12, $D$11, 100%, $F$11)</f>
        <v>26.922699999999999</v>
      </c>
      <c r="D812" s="8">
        <f>26.9259 * CHOOSE( CONTROL!$C$12, $D$11, 100%, $F$11)</f>
        <v>26.925899999999999</v>
      </c>
      <c r="E812" s="12">
        <f>26.9236 * CHOOSE( CONTROL!$C$12, $D$11, 100%, $F$11)</f>
        <v>26.9236</v>
      </c>
      <c r="F812" s="4">
        <f>27.9195 * CHOOSE(CONTROL!$C$12, $D$11, 100%, $F$11)</f>
        <v>27.919499999999999</v>
      </c>
      <c r="G812" s="8">
        <f>26.228 * CHOOSE( CONTROL!$C$12, $D$11, 100%, $F$11)</f>
        <v>26.228000000000002</v>
      </c>
      <c r="H812" s="4">
        <f>27.1389 * CHOOSE(CONTROL!$C$12, $D$11, 100%, $F$11)</f>
        <v>27.1389</v>
      </c>
      <c r="I812" s="8">
        <f>25.8437 * CHOOSE(CONTROL!$C$12, $D$11, 100%, $F$11)</f>
        <v>25.843699999999998</v>
      </c>
      <c r="J812" s="4">
        <f>25.7825 * CHOOSE(CONTROL!$C$12, $D$11, 100%, $F$11)</f>
        <v>25.782499999999999</v>
      </c>
      <c r="K812" s="4"/>
      <c r="L812" s="9">
        <v>27.988800000000001</v>
      </c>
      <c r="M812" s="9">
        <v>11.6745</v>
      </c>
      <c r="N812" s="9">
        <v>4.7850000000000001</v>
      </c>
      <c r="O812" s="9">
        <v>0.36249999999999999</v>
      </c>
      <c r="P812" s="9">
        <v>1.1798</v>
      </c>
      <c r="Q812" s="9">
        <v>19.053000000000001</v>
      </c>
      <c r="R812" s="9"/>
      <c r="S812" s="11"/>
    </row>
    <row r="813" spans="1:19" ht="15.75">
      <c r="A813" s="13">
        <v>66627</v>
      </c>
      <c r="B813" s="8">
        <f>CHOOSE( CONTROL!$C$29, 27.6334, 27.6292) * CHOOSE(CONTROL!$C$12, $D$11, 100%, $F$11)</f>
        <v>27.633400000000002</v>
      </c>
      <c r="C813" s="8">
        <f>CHOOSE( CONTROL!$C$29, 27.6439, 27.6396) * CHOOSE(CONTROL!$C$12, $D$11, 100%, $F$11)</f>
        <v>27.643899999999999</v>
      </c>
      <c r="D813" s="8">
        <f>CHOOSE( CONTROL!$C$29, 27.6218, 27.6175) * CHOOSE( CONTROL!$C$12, $D$11, 100%, $F$11)</f>
        <v>27.6218</v>
      </c>
      <c r="E813" s="12">
        <f>CHOOSE( CONTROL!$C$29, 27.6282, 27.6239) * CHOOSE( CONTROL!$C$12, $D$11, 100%, $F$11)</f>
        <v>27.6282</v>
      </c>
      <c r="F813" s="4">
        <f>CHOOSE( CONTROL!$C$29, 28.6083, 28.6041) * CHOOSE(CONTROL!$C$12, $D$11, 100%, $F$11)</f>
        <v>28.6083</v>
      </c>
      <c r="G813" s="8">
        <f>CHOOSE( CONTROL!$C$29, 26.9122, 26.9081) * CHOOSE( CONTROL!$C$12, $D$11, 100%, $F$11)</f>
        <v>26.912199999999999</v>
      </c>
      <c r="H813" s="4">
        <f>CHOOSE( CONTROL!$C$29, 27.8103, 27.8062) * CHOOSE(CONTROL!$C$12, $D$11, 100%, $F$11)</f>
        <v>27.810300000000002</v>
      </c>
      <c r="I813" s="8">
        <f>CHOOSE( CONTROL!$C$29, 26.5135, 26.5095) * CHOOSE(CONTROL!$C$12, $D$11, 100%, $F$11)</f>
        <v>26.513500000000001</v>
      </c>
      <c r="J813" s="4">
        <f>CHOOSE( CONTROL!$C$29, 26.4736, 26.4695) * CHOOSE(CONTROL!$C$12, $D$11, 100%, $F$11)</f>
        <v>26.473600000000001</v>
      </c>
      <c r="K813" s="4"/>
      <c r="L813" s="9">
        <v>29.520499999999998</v>
      </c>
      <c r="M813" s="9">
        <v>12.063700000000001</v>
      </c>
      <c r="N813" s="9">
        <v>4.9444999999999997</v>
      </c>
      <c r="O813" s="9">
        <v>0.37459999999999999</v>
      </c>
      <c r="P813" s="9">
        <v>1.2192000000000001</v>
      </c>
      <c r="Q813" s="9">
        <v>19.688099999999999</v>
      </c>
      <c r="R813" s="9"/>
      <c r="S813" s="11"/>
    </row>
    <row r="814" spans="1:19" ht="15.75">
      <c r="A814" s="13">
        <v>66657</v>
      </c>
      <c r="B814" s="8">
        <f>CHOOSE( CONTROL!$C$29, 27.1893, 27.185) * CHOOSE(CONTROL!$C$12, $D$11, 100%, $F$11)</f>
        <v>27.189299999999999</v>
      </c>
      <c r="C814" s="8">
        <f>CHOOSE( CONTROL!$C$29, 27.1997, 27.1955) * CHOOSE(CONTROL!$C$12, $D$11, 100%, $F$11)</f>
        <v>27.1997</v>
      </c>
      <c r="D814" s="8">
        <f>CHOOSE( CONTROL!$C$29, 27.1721, 27.1678) * CHOOSE( CONTROL!$C$12, $D$11, 100%, $F$11)</f>
        <v>27.1721</v>
      </c>
      <c r="E814" s="12">
        <f>CHOOSE( CONTROL!$C$29, 27.1805, 27.1762) * CHOOSE( CONTROL!$C$12, $D$11, 100%, $F$11)</f>
        <v>27.180499999999999</v>
      </c>
      <c r="F814" s="4">
        <f>CHOOSE( CONTROL!$C$29, 28.1538, 28.1495) * CHOOSE(CONTROL!$C$12, $D$11, 100%, $F$11)</f>
        <v>28.1538</v>
      </c>
      <c r="G814" s="8">
        <f>CHOOSE( CONTROL!$C$29, 26.478, 26.4739) * CHOOSE( CONTROL!$C$12, $D$11, 100%, $F$11)</f>
        <v>26.478000000000002</v>
      </c>
      <c r="H814" s="4">
        <f>CHOOSE( CONTROL!$C$29, 27.3672, 27.3631) * CHOOSE(CONTROL!$C$12, $D$11, 100%, $F$11)</f>
        <v>27.3672</v>
      </c>
      <c r="I814" s="8">
        <f>CHOOSE( CONTROL!$C$29, 26.0899, 26.0858) * CHOOSE(CONTROL!$C$12, $D$11, 100%, $F$11)</f>
        <v>26.0899</v>
      </c>
      <c r="J814" s="4">
        <f>CHOOSE( CONTROL!$C$29, 26.048, 26.044) * CHOOSE(CONTROL!$C$12, $D$11, 100%, $F$11)</f>
        <v>26.047999999999998</v>
      </c>
      <c r="K814" s="4"/>
      <c r="L814" s="9">
        <v>28.568200000000001</v>
      </c>
      <c r="M814" s="9">
        <v>11.6745</v>
      </c>
      <c r="N814" s="9">
        <v>4.7850000000000001</v>
      </c>
      <c r="O814" s="9">
        <v>0.36249999999999999</v>
      </c>
      <c r="P814" s="9">
        <v>1.1798</v>
      </c>
      <c r="Q814" s="9">
        <v>19.053000000000001</v>
      </c>
      <c r="R814" s="9"/>
      <c r="S814" s="11"/>
    </row>
    <row r="815" spans="1:19" ht="15.75">
      <c r="A815" s="13">
        <v>66688</v>
      </c>
      <c r="B815" s="8">
        <f>CHOOSE( CONTROL!$C$29, 28.3589, 28.3546) * CHOOSE(CONTROL!$C$12, $D$11, 100%, $F$11)</f>
        <v>28.358899999999998</v>
      </c>
      <c r="C815" s="8">
        <f>CHOOSE( CONTROL!$C$29, 28.3693, 28.365) * CHOOSE(CONTROL!$C$12, $D$11, 100%, $F$11)</f>
        <v>28.369299999999999</v>
      </c>
      <c r="D815" s="8">
        <f>CHOOSE( CONTROL!$C$29, 28.3754, 28.3712) * CHOOSE( CONTROL!$C$12, $D$11, 100%, $F$11)</f>
        <v>28.375399999999999</v>
      </c>
      <c r="E815" s="12">
        <f>CHOOSE( CONTROL!$C$29, 28.3716, 28.3674) * CHOOSE( CONTROL!$C$12, $D$11, 100%, $F$11)</f>
        <v>28.371600000000001</v>
      </c>
      <c r="F815" s="4">
        <f>CHOOSE( CONTROL!$C$29, 29.3687, 29.3645) * CHOOSE(CONTROL!$C$12, $D$11, 100%, $F$11)</f>
        <v>29.3687</v>
      </c>
      <c r="G815" s="8">
        <f>CHOOSE( CONTROL!$C$29, 27.6441, 27.64) * CHOOSE( CONTROL!$C$12, $D$11, 100%, $F$11)</f>
        <v>27.644100000000002</v>
      </c>
      <c r="H815" s="4">
        <f>CHOOSE( CONTROL!$C$29, 28.5515, 28.5474) * CHOOSE(CONTROL!$C$12, $D$11, 100%, $F$11)</f>
        <v>28.551500000000001</v>
      </c>
      <c r="I815" s="8">
        <f>CHOOSE( CONTROL!$C$29, 27.2664, 27.2624) * CHOOSE(CONTROL!$C$12, $D$11, 100%, $F$11)</f>
        <v>27.266400000000001</v>
      </c>
      <c r="J815" s="4">
        <f>CHOOSE( CONTROL!$C$29, 27.1687, 27.1646) * CHOOSE(CONTROL!$C$12, $D$11, 100%, $F$11)</f>
        <v>27.168700000000001</v>
      </c>
      <c r="K815" s="4"/>
      <c r="L815" s="9">
        <v>29.520499999999998</v>
      </c>
      <c r="M815" s="9">
        <v>12.063700000000001</v>
      </c>
      <c r="N815" s="9">
        <v>4.9444999999999997</v>
      </c>
      <c r="O815" s="9">
        <v>0.37459999999999999</v>
      </c>
      <c r="P815" s="9">
        <v>1.2192000000000001</v>
      </c>
      <c r="Q815" s="9">
        <v>19.688099999999999</v>
      </c>
      <c r="R815" s="9"/>
      <c r="S815" s="11"/>
    </row>
    <row r="816" spans="1:19" ht="15.75">
      <c r="A816" s="13">
        <v>66719</v>
      </c>
      <c r="B816" s="8">
        <f>CHOOSE( CONTROL!$C$29, 26.1705, 26.1662) * CHOOSE(CONTROL!$C$12, $D$11, 100%, $F$11)</f>
        <v>26.170500000000001</v>
      </c>
      <c r="C816" s="8">
        <f>CHOOSE( CONTROL!$C$29, 26.1809, 26.1767) * CHOOSE(CONTROL!$C$12, $D$11, 100%, $F$11)</f>
        <v>26.180900000000001</v>
      </c>
      <c r="D816" s="8">
        <f>CHOOSE( CONTROL!$C$29, 26.2035, 26.1993) * CHOOSE( CONTROL!$C$12, $D$11, 100%, $F$11)</f>
        <v>26.203499999999998</v>
      </c>
      <c r="E816" s="12">
        <f>CHOOSE( CONTROL!$C$29, 26.1937, 26.1895) * CHOOSE( CONTROL!$C$12, $D$11, 100%, $F$11)</f>
        <v>26.1937</v>
      </c>
      <c r="F816" s="4">
        <f>CHOOSE( CONTROL!$C$29, 27.209, 27.2048) * CHOOSE(CONTROL!$C$12, $D$11, 100%, $F$11)</f>
        <v>27.209</v>
      </c>
      <c r="G816" s="8">
        <f>CHOOSE( CONTROL!$C$29, 25.5166, 25.5124) * CHOOSE( CONTROL!$C$12, $D$11, 100%, $F$11)</f>
        <v>25.5166</v>
      </c>
      <c r="H816" s="4">
        <f>CHOOSE( CONTROL!$C$29, 26.4463, 26.4422) * CHOOSE(CONTROL!$C$12, $D$11, 100%, $F$11)</f>
        <v>26.446300000000001</v>
      </c>
      <c r="I816" s="8">
        <f>CHOOSE( CONTROL!$C$29, 25.16, 25.1559) * CHOOSE(CONTROL!$C$12, $D$11, 100%, $F$11)</f>
        <v>25.16</v>
      </c>
      <c r="J816" s="4">
        <f>CHOOSE( CONTROL!$C$29, 25.0718, 25.0677) * CHOOSE(CONTROL!$C$12, $D$11, 100%, $F$11)</f>
        <v>25.0718</v>
      </c>
      <c r="K816" s="4"/>
      <c r="L816" s="9">
        <v>29.520499999999998</v>
      </c>
      <c r="M816" s="9">
        <v>12.063700000000001</v>
      </c>
      <c r="N816" s="9">
        <v>4.9444999999999997</v>
      </c>
      <c r="O816" s="9">
        <v>0.37459999999999999</v>
      </c>
      <c r="P816" s="9">
        <v>1.2192000000000001</v>
      </c>
      <c r="Q816" s="9">
        <v>19.688099999999999</v>
      </c>
      <c r="R816" s="9"/>
      <c r="S816" s="11"/>
    </row>
    <row r="817" spans="1:19" ht="15.75">
      <c r="A817" s="13">
        <v>66749</v>
      </c>
      <c r="B817" s="8">
        <f>CHOOSE( CONTROL!$C$29, 25.6225, 25.6182) * CHOOSE(CONTROL!$C$12, $D$11, 100%, $F$11)</f>
        <v>25.622499999999999</v>
      </c>
      <c r="C817" s="8">
        <f>CHOOSE( CONTROL!$C$29, 25.6329, 25.6287) * CHOOSE(CONTROL!$C$12, $D$11, 100%, $F$11)</f>
        <v>25.632899999999999</v>
      </c>
      <c r="D817" s="8">
        <f>CHOOSE( CONTROL!$C$29, 25.6555, 25.6512) * CHOOSE( CONTROL!$C$12, $D$11, 100%, $F$11)</f>
        <v>25.6555</v>
      </c>
      <c r="E817" s="12">
        <f>CHOOSE( CONTROL!$C$29, 25.6457, 25.6414) * CHOOSE( CONTROL!$C$12, $D$11, 100%, $F$11)</f>
        <v>25.645700000000001</v>
      </c>
      <c r="F817" s="4">
        <f>CHOOSE( CONTROL!$C$29, 26.661, 26.6568) * CHOOSE(CONTROL!$C$12, $D$11, 100%, $F$11)</f>
        <v>26.661000000000001</v>
      </c>
      <c r="G817" s="8">
        <f>CHOOSE( CONTROL!$C$29, 24.9821, 24.9779) * CHOOSE( CONTROL!$C$12, $D$11, 100%, $F$11)</f>
        <v>24.982099999999999</v>
      </c>
      <c r="H817" s="4">
        <f>CHOOSE( CONTROL!$C$29, 25.9122, 25.908) * CHOOSE(CONTROL!$C$12, $D$11, 100%, $F$11)</f>
        <v>25.912199999999999</v>
      </c>
      <c r="I817" s="8">
        <f>CHOOSE( CONTROL!$C$29, 24.6329, 24.6288) * CHOOSE(CONTROL!$C$12, $D$11, 100%, $F$11)</f>
        <v>24.632899999999999</v>
      </c>
      <c r="J817" s="4">
        <f>CHOOSE( CONTROL!$C$29, 24.5467, 24.5426) * CHOOSE(CONTROL!$C$12, $D$11, 100%, $F$11)</f>
        <v>24.546700000000001</v>
      </c>
      <c r="K817" s="4"/>
      <c r="L817" s="9">
        <v>28.568200000000001</v>
      </c>
      <c r="M817" s="9">
        <v>11.6745</v>
      </c>
      <c r="N817" s="9">
        <v>4.7850000000000001</v>
      </c>
      <c r="O817" s="9">
        <v>0.36249999999999999</v>
      </c>
      <c r="P817" s="9">
        <v>1.1798</v>
      </c>
      <c r="Q817" s="9">
        <v>19.053000000000001</v>
      </c>
      <c r="R817" s="9"/>
      <c r="S817" s="11"/>
    </row>
    <row r="818" spans="1:19" ht="15.75">
      <c r="A818" s="13">
        <v>66780</v>
      </c>
      <c r="B818" s="8">
        <f>26.7561 * CHOOSE(CONTROL!$C$12, $D$11, 100%, $F$11)</f>
        <v>26.7561</v>
      </c>
      <c r="C818" s="8">
        <f>26.7665 * CHOOSE(CONTROL!$C$12, $D$11, 100%, $F$11)</f>
        <v>26.766500000000001</v>
      </c>
      <c r="D818" s="8">
        <f>26.7709 * CHOOSE( CONTROL!$C$12, $D$11, 100%, $F$11)</f>
        <v>26.770900000000001</v>
      </c>
      <c r="E818" s="12">
        <f>26.7683 * CHOOSE( CONTROL!$C$12, $D$11, 100%, $F$11)</f>
        <v>26.7683</v>
      </c>
      <c r="F818" s="4">
        <f>27.7633 * CHOOSE(CONTROL!$C$12, $D$11, 100%, $F$11)</f>
        <v>27.763300000000001</v>
      </c>
      <c r="G818" s="8">
        <f>26.0773 * CHOOSE( CONTROL!$C$12, $D$11, 100%, $F$11)</f>
        <v>26.077300000000001</v>
      </c>
      <c r="H818" s="4">
        <f>26.9866 * CHOOSE(CONTROL!$C$12, $D$11, 100%, $F$11)</f>
        <v>26.986599999999999</v>
      </c>
      <c r="I818" s="8">
        <f>25.7163 * CHOOSE(CONTROL!$C$12, $D$11, 100%, $F$11)</f>
        <v>25.7163</v>
      </c>
      <c r="J818" s="4">
        <f>25.6329 * CHOOSE(CONTROL!$C$12, $D$11, 100%, $F$11)</f>
        <v>25.632899999999999</v>
      </c>
      <c r="K818" s="4"/>
      <c r="L818" s="9">
        <v>28.921800000000001</v>
      </c>
      <c r="M818" s="9">
        <v>12.063700000000001</v>
      </c>
      <c r="N818" s="9">
        <v>4.9444999999999997</v>
      </c>
      <c r="O818" s="9">
        <v>0.37459999999999999</v>
      </c>
      <c r="P818" s="9">
        <v>1.2192000000000001</v>
      </c>
      <c r="Q818" s="9">
        <v>19.688099999999999</v>
      </c>
      <c r="R818" s="9"/>
      <c r="S818" s="11"/>
    </row>
    <row r="819" spans="1:19" ht="15.75">
      <c r="A819" s="13">
        <v>66810</v>
      </c>
      <c r="B819" s="8">
        <f>28.8563 * CHOOSE(CONTROL!$C$12, $D$11, 100%, $F$11)</f>
        <v>28.856300000000001</v>
      </c>
      <c r="C819" s="8">
        <f>28.8667 * CHOOSE(CONTROL!$C$12, $D$11, 100%, $F$11)</f>
        <v>28.866700000000002</v>
      </c>
      <c r="D819" s="8">
        <f>28.8491 * CHOOSE( CONTROL!$C$12, $D$11, 100%, $F$11)</f>
        <v>28.8491</v>
      </c>
      <c r="E819" s="12">
        <f>28.8544 * CHOOSE( CONTROL!$C$12, $D$11, 100%, $F$11)</f>
        <v>28.854399999999998</v>
      </c>
      <c r="F819" s="4">
        <f>29.8505 * CHOOSE(CONTROL!$C$12, $D$11, 100%, $F$11)</f>
        <v>29.8505</v>
      </c>
      <c r="G819" s="8">
        <f>28.137 * CHOOSE( CONTROL!$C$12, $D$11, 100%, $F$11)</f>
        <v>28.137</v>
      </c>
      <c r="H819" s="4">
        <f>29.0211 * CHOOSE(CONTROL!$C$12, $D$11, 100%, $F$11)</f>
        <v>29.021100000000001</v>
      </c>
      <c r="I819" s="8">
        <f>27.7531 * CHOOSE(CONTROL!$C$12, $D$11, 100%, $F$11)</f>
        <v>27.7531</v>
      </c>
      <c r="J819" s="4">
        <f>27.6453 * CHOOSE(CONTROL!$C$12, $D$11, 100%, $F$11)</f>
        <v>27.645299999999999</v>
      </c>
      <c r="K819" s="4"/>
      <c r="L819" s="9">
        <v>26.515499999999999</v>
      </c>
      <c r="M819" s="9">
        <v>11.6745</v>
      </c>
      <c r="N819" s="9">
        <v>4.7850000000000001</v>
      </c>
      <c r="O819" s="9">
        <v>0.36249999999999999</v>
      </c>
      <c r="P819" s="9">
        <v>1.2522</v>
      </c>
      <c r="Q819" s="9">
        <v>19.053000000000001</v>
      </c>
      <c r="R819" s="9"/>
      <c r="S819" s="11"/>
    </row>
    <row r="820" spans="1:19" ht="15.75">
      <c r="A820" s="13">
        <v>66841</v>
      </c>
      <c r="B820" s="8">
        <f>28.8038 * CHOOSE(CONTROL!$C$12, $D$11, 100%, $F$11)</f>
        <v>28.803799999999999</v>
      </c>
      <c r="C820" s="8">
        <f>28.8142 * CHOOSE(CONTROL!$C$12, $D$11, 100%, $F$11)</f>
        <v>28.8142</v>
      </c>
      <c r="D820" s="8">
        <f>28.7986 * CHOOSE( CONTROL!$C$12, $D$11, 100%, $F$11)</f>
        <v>28.7986</v>
      </c>
      <c r="E820" s="12">
        <f>28.8032 * CHOOSE( CONTROL!$C$12, $D$11, 100%, $F$11)</f>
        <v>28.8032</v>
      </c>
      <c r="F820" s="4">
        <f>29.798 * CHOOSE(CONTROL!$C$12, $D$11, 100%, $F$11)</f>
        <v>29.797999999999998</v>
      </c>
      <c r="G820" s="8">
        <f>28.0874 * CHOOSE( CONTROL!$C$12, $D$11, 100%, $F$11)</f>
        <v>28.087399999999999</v>
      </c>
      <c r="H820" s="4">
        <f>28.97 * CHOOSE(CONTROL!$C$12, $D$11, 100%, $F$11)</f>
        <v>28.97</v>
      </c>
      <c r="I820" s="8">
        <f>27.7101 * CHOOSE(CONTROL!$C$12, $D$11, 100%, $F$11)</f>
        <v>27.710100000000001</v>
      </c>
      <c r="J820" s="4">
        <f>27.595 * CHOOSE(CONTROL!$C$12, $D$11, 100%, $F$11)</f>
        <v>27.594999999999999</v>
      </c>
      <c r="K820" s="4"/>
      <c r="L820" s="9">
        <v>27.3993</v>
      </c>
      <c r="M820" s="9">
        <v>12.063700000000001</v>
      </c>
      <c r="N820" s="9">
        <v>4.9444999999999997</v>
      </c>
      <c r="O820" s="9">
        <v>0.37459999999999999</v>
      </c>
      <c r="P820" s="9">
        <v>1.2939000000000001</v>
      </c>
      <c r="Q820" s="9">
        <v>19.688099999999999</v>
      </c>
      <c r="R820" s="9"/>
      <c r="S820" s="11"/>
    </row>
    <row r="821" spans="1:19" ht="15.75">
      <c r="A821" s="13">
        <v>66872</v>
      </c>
      <c r="B821" s="8">
        <f>29.9045 * CHOOSE(CONTROL!$C$12, $D$11, 100%, $F$11)</f>
        <v>29.904499999999999</v>
      </c>
      <c r="C821" s="8">
        <f>29.9149 * CHOOSE(CONTROL!$C$12, $D$11, 100%, $F$11)</f>
        <v>29.914899999999999</v>
      </c>
      <c r="D821" s="8">
        <f>29.9126 * CHOOSE( CONTROL!$C$12, $D$11, 100%, $F$11)</f>
        <v>29.912600000000001</v>
      </c>
      <c r="E821" s="12">
        <f>29.9123 * CHOOSE( CONTROL!$C$12, $D$11, 100%, $F$11)</f>
        <v>29.912299999999998</v>
      </c>
      <c r="F821" s="4">
        <f>30.9274 * CHOOSE(CONTROL!$C$12, $D$11, 100%, $F$11)</f>
        <v>30.927399999999999</v>
      </c>
      <c r="G821" s="8">
        <f>29.1775 * CHOOSE( CONTROL!$C$12, $D$11, 100%, $F$11)</f>
        <v>29.177499999999998</v>
      </c>
      <c r="H821" s="4">
        <f>30.0709 * CHOOSE(CONTROL!$C$12, $D$11, 100%, $F$11)</f>
        <v>30.070900000000002</v>
      </c>
      <c r="I821" s="8">
        <f>28.7726 * CHOOSE(CONTROL!$C$12, $D$11, 100%, $F$11)</f>
        <v>28.772600000000001</v>
      </c>
      <c r="J821" s="4">
        <f>28.6497 * CHOOSE(CONTROL!$C$12, $D$11, 100%, $F$11)</f>
        <v>28.649699999999999</v>
      </c>
      <c r="K821" s="4"/>
      <c r="L821" s="9">
        <v>27.3993</v>
      </c>
      <c r="M821" s="9">
        <v>12.063700000000001</v>
      </c>
      <c r="N821" s="9">
        <v>4.9444999999999997</v>
      </c>
      <c r="O821" s="9">
        <v>0.37459999999999999</v>
      </c>
      <c r="P821" s="9">
        <v>1.2939000000000001</v>
      </c>
      <c r="Q821" s="9">
        <v>19.688099999999999</v>
      </c>
      <c r="R821" s="9"/>
      <c r="S821" s="11"/>
    </row>
    <row r="822" spans="1:19" ht="15.75">
      <c r="A822" s="13">
        <v>66900</v>
      </c>
      <c r="B822" s="8">
        <f>27.9715 * CHOOSE(CONTROL!$C$12, $D$11, 100%, $F$11)</f>
        <v>27.971499999999999</v>
      </c>
      <c r="C822" s="8">
        <f>27.9819 * CHOOSE(CONTROL!$C$12, $D$11, 100%, $F$11)</f>
        <v>27.9819</v>
      </c>
      <c r="D822" s="8">
        <f>27.9819 * CHOOSE( CONTROL!$C$12, $D$11, 100%, $F$11)</f>
        <v>27.9819</v>
      </c>
      <c r="E822" s="12">
        <f>27.9808 * CHOOSE( CONTROL!$C$12, $D$11, 100%, $F$11)</f>
        <v>27.980799999999999</v>
      </c>
      <c r="F822" s="4">
        <f>28.9866 * CHOOSE(CONTROL!$C$12, $D$11, 100%, $F$11)</f>
        <v>28.986599999999999</v>
      </c>
      <c r="G822" s="8">
        <f>27.2932 * CHOOSE( CONTROL!$C$12, $D$11, 100%, $F$11)</f>
        <v>27.293199999999999</v>
      </c>
      <c r="H822" s="4">
        <f>28.1791 * CHOOSE(CONTROL!$C$12, $D$11, 100%, $F$11)</f>
        <v>28.179099999999998</v>
      </c>
      <c r="I822" s="8">
        <f>26.9086 * CHOOSE(CONTROL!$C$12, $D$11, 100%, $F$11)</f>
        <v>26.9086</v>
      </c>
      <c r="J822" s="4">
        <f>26.7975 * CHOOSE(CONTROL!$C$12, $D$11, 100%, $F$11)</f>
        <v>26.797499999999999</v>
      </c>
      <c r="K822" s="4"/>
      <c r="L822" s="9">
        <v>24.747800000000002</v>
      </c>
      <c r="M822" s="9">
        <v>10.8962</v>
      </c>
      <c r="N822" s="9">
        <v>4.4660000000000002</v>
      </c>
      <c r="O822" s="9">
        <v>0.33829999999999999</v>
      </c>
      <c r="P822" s="9">
        <v>1.1687000000000001</v>
      </c>
      <c r="Q822" s="9">
        <v>17.782800000000002</v>
      </c>
      <c r="R822" s="9"/>
      <c r="S822" s="11"/>
    </row>
    <row r="823" spans="1:19" ht="15.75">
      <c r="A823" s="13">
        <v>66931</v>
      </c>
      <c r="B823" s="8">
        <f>27.3762 * CHOOSE(CONTROL!$C$12, $D$11, 100%, $F$11)</f>
        <v>27.376200000000001</v>
      </c>
      <c r="C823" s="8">
        <f>27.3866 * CHOOSE(CONTROL!$C$12, $D$11, 100%, $F$11)</f>
        <v>27.386600000000001</v>
      </c>
      <c r="D823" s="8">
        <f>27.3664 * CHOOSE( CONTROL!$C$12, $D$11, 100%, $F$11)</f>
        <v>27.366399999999999</v>
      </c>
      <c r="E823" s="12">
        <f>27.3727 * CHOOSE( CONTROL!$C$12, $D$11, 100%, $F$11)</f>
        <v>27.372699999999998</v>
      </c>
      <c r="F823" s="4">
        <f>28.3751 * CHOOSE(CONTROL!$C$12, $D$11, 100%, $F$11)</f>
        <v>28.3751</v>
      </c>
      <c r="G823" s="8">
        <f>26.6924 * CHOOSE( CONTROL!$C$12, $D$11, 100%, $F$11)</f>
        <v>26.692399999999999</v>
      </c>
      <c r="H823" s="4">
        <f>27.583 * CHOOSE(CONTROL!$C$12, $D$11, 100%, $F$11)</f>
        <v>27.582999999999998</v>
      </c>
      <c r="I823" s="8">
        <f>26.2984 * CHOOSE(CONTROL!$C$12, $D$11, 100%, $F$11)</f>
        <v>26.298400000000001</v>
      </c>
      <c r="J823" s="4">
        <f>26.2271 * CHOOSE(CONTROL!$C$12, $D$11, 100%, $F$11)</f>
        <v>26.2271</v>
      </c>
      <c r="K823" s="4"/>
      <c r="L823" s="9">
        <v>27.3993</v>
      </c>
      <c r="M823" s="9">
        <v>12.063700000000001</v>
      </c>
      <c r="N823" s="9">
        <v>4.9444999999999997</v>
      </c>
      <c r="O823" s="9">
        <v>0.37459999999999999</v>
      </c>
      <c r="P823" s="9">
        <v>1.2939000000000001</v>
      </c>
      <c r="Q823" s="9">
        <v>19.688099999999999</v>
      </c>
      <c r="R823" s="9"/>
      <c r="S823" s="11"/>
    </row>
    <row r="824" spans="1:19" ht="15.75">
      <c r="A824" s="13">
        <v>66961</v>
      </c>
      <c r="B824" s="8">
        <f>27.7922 * CHOOSE(CONTROL!$C$12, $D$11, 100%, $F$11)</f>
        <v>27.792200000000001</v>
      </c>
      <c r="C824" s="8">
        <f>27.8026 * CHOOSE(CONTROL!$C$12, $D$11, 100%, $F$11)</f>
        <v>27.802600000000002</v>
      </c>
      <c r="D824" s="8">
        <f>27.8058 * CHOOSE( CONTROL!$C$12, $D$11, 100%, $F$11)</f>
        <v>27.805800000000001</v>
      </c>
      <c r="E824" s="12">
        <f>27.8036 * CHOOSE( CONTROL!$C$12, $D$11, 100%, $F$11)</f>
        <v>27.803599999999999</v>
      </c>
      <c r="F824" s="4">
        <f>28.7994 * CHOOSE(CONTROL!$C$12, $D$11, 100%, $F$11)</f>
        <v>28.799399999999999</v>
      </c>
      <c r="G824" s="8">
        <f>27.0858 * CHOOSE( CONTROL!$C$12, $D$11, 100%, $F$11)</f>
        <v>27.085799999999999</v>
      </c>
      <c r="H824" s="4">
        <f>27.9966 * CHOOSE(CONTROL!$C$12, $D$11, 100%, $F$11)</f>
        <v>27.996600000000001</v>
      </c>
      <c r="I824" s="8">
        <f>26.6873 * CHOOSE(CONTROL!$C$12, $D$11, 100%, $F$11)</f>
        <v>26.6873</v>
      </c>
      <c r="J824" s="4">
        <f>26.6257 * CHOOSE(CONTROL!$C$12, $D$11, 100%, $F$11)</f>
        <v>26.625699999999998</v>
      </c>
      <c r="K824" s="4"/>
      <c r="L824" s="9">
        <v>27.988800000000001</v>
      </c>
      <c r="M824" s="9">
        <v>11.6745</v>
      </c>
      <c r="N824" s="9">
        <v>4.7850000000000001</v>
      </c>
      <c r="O824" s="9">
        <v>0.36249999999999999</v>
      </c>
      <c r="P824" s="9">
        <v>1.1798</v>
      </c>
      <c r="Q824" s="9">
        <v>19.053000000000001</v>
      </c>
      <c r="R824" s="9"/>
      <c r="S824" s="11"/>
    </row>
    <row r="825" spans="1:19" ht="15.75">
      <c r="A825" s="13">
        <v>66992</v>
      </c>
      <c r="B825" s="8">
        <f>CHOOSE( CONTROL!$C$29, 28.5368, 28.5326) * CHOOSE(CONTROL!$C$12, $D$11, 100%, $F$11)</f>
        <v>28.536799999999999</v>
      </c>
      <c r="C825" s="8">
        <f>CHOOSE( CONTROL!$C$29, 28.5473, 28.543) * CHOOSE(CONTROL!$C$12, $D$11, 100%, $F$11)</f>
        <v>28.5473</v>
      </c>
      <c r="D825" s="8">
        <f>CHOOSE( CONTROL!$C$29, 28.5252, 28.5209) * CHOOSE( CONTROL!$C$12, $D$11, 100%, $F$11)</f>
        <v>28.525200000000002</v>
      </c>
      <c r="E825" s="12">
        <f>CHOOSE( CONTROL!$C$29, 28.5316, 28.5273) * CHOOSE( CONTROL!$C$12, $D$11, 100%, $F$11)</f>
        <v>28.531600000000001</v>
      </c>
      <c r="F825" s="4">
        <f>CHOOSE( CONTROL!$C$29, 29.5117, 29.5075) * CHOOSE(CONTROL!$C$12, $D$11, 100%, $F$11)</f>
        <v>29.511700000000001</v>
      </c>
      <c r="G825" s="8">
        <f>CHOOSE( CONTROL!$C$29, 27.7928, 27.7887) * CHOOSE( CONTROL!$C$12, $D$11, 100%, $F$11)</f>
        <v>27.7928</v>
      </c>
      <c r="H825" s="4">
        <f>CHOOSE( CONTROL!$C$29, 28.6909, 28.6868) * CHOOSE(CONTROL!$C$12, $D$11, 100%, $F$11)</f>
        <v>28.690899999999999</v>
      </c>
      <c r="I825" s="8">
        <f>CHOOSE( CONTROL!$C$29, 27.3796, 27.3755) * CHOOSE(CONTROL!$C$12, $D$11, 100%, $F$11)</f>
        <v>27.3796</v>
      </c>
      <c r="J825" s="4">
        <f>CHOOSE( CONTROL!$C$29, 27.3392, 27.3352) * CHOOSE(CONTROL!$C$12, $D$11, 100%, $F$11)</f>
        <v>27.339200000000002</v>
      </c>
      <c r="K825" s="4"/>
      <c r="L825" s="9">
        <v>29.520499999999998</v>
      </c>
      <c r="M825" s="9">
        <v>12.063700000000001</v>
      </c>
      <c r="N825" s="9">
        <v>4.9444999999999997</v>
      </c>
      <c r="O825" s="9">
        <v>0.37459999999999999</v>
      </c>
      <c r="P825" s="9">
        <v>1.2192000000000001</v>
      </c>
      <c r="Q825" s="9">
        <v>19.688099999999999</v>
      </c>
      <c r="R825" s="9"/>
      <c r="S825" s="11"/>
    </row>
    <row r="826" spans="1:19" ht="15.75">
      <c r="A826" s="13">
        <v>67022</v>
      </c>
      <c r="B826" s="8">
        <f>CHOOSE( CONTROL!$C$29, 28.0782, 28.0739) * CHOOSE(CONTROL!$C$12, $D$11, 100%, $F$11)</f>
        <v>28.078199999999999</v>
      </c>
      <c r="C826" s="8">
        <f>CHOOSE( CONTROL!$C$29, 28.0886, 28.0844) * CHOOSE(CONTROL!$C$12, $D$11, 100%, $F$11)</f>
        <v>28.0886</v>
      </c>
      <c r="D826" s="8">
        <f>CHOOSE( CONTROL!$C$29, 28.0609, 28.0567) * CHOOSE( CONTROL!$C$12, $D$11, 100%, $F$11)</f>
        <v>28.0609</v>
      </c>
      <c r="E826" s="12">
        <f>CHOOSE( CONTROL!$C$29, 28.0694, 28.0651) * CHOOSE( CONTROL!$C$12, $D$11, 100%, $F$11)</f>
        <v>28.069400000000002</v>
      </c>
      <c r="F826" s="4">
        <f>CHOOSE( CONTROL!$C$29, 29.0426, 29.0384) * CHOOSE(CONTROL!$C$12, $D$11, 100%, $F$11)</f>
        <v>29.0426</v>
      </c>
      <c r="G826" s="8">
        <f>CHOOSE( CONTROL!$C$29, 27.3445, 27.3404) * CHOOSE( CONTROL!$C$12, $D$11, 100%, $F$11)</f>
        <v>27.3445</v>
      </c>
      <c r="H826" s="4">
        <f>CHOOSE( CONTROL!$C$29, 28.2337, 28.2295) * CHOOSE(CONTROL!$C$12, $D$11, 100%, $F$11)</f>
        <v>28.233699999999999</v>
      </c>
      <c r="I826" s="8">
        <f>CHOOSE( CONTROL!$C$29, 26.9421, 26.938) * CHOOSE(CONTROL!$C$12, $D$11, 100%, $F$11)</f>
        <v>26.9421</v>
      </c>
      <c r="J826" s="4">
        <f>CHOOSE( CONTROL!$C$29, 26.8998, 26.8957) * CHOOSE(CONTROL!$C$12, $D$11, 100%, $F$11)</f>
        <v>26.899799999999999</v>
      </c>
      <c r="K826" s="4"/>
      <c r="L826" s="9">
        <v>28.568200000000001</v>
      </c>
      <c r="M826" s="9">
        <v>11.6745</v>
      </c>
      <c r="N826" s="9">
        <v>4.7850000000000001</v>
      </c>
      <c r="O826" s="9">
        <v>0.36249999999999999</v>
      </c>
      <c r="P826" s="9">
        <v>1.1798</v>
      </c>
      <c r="Q826" s="9">
        <v>19.053000000000001</v>
      </c>
      <c r="R826" s="9"/>
      <c r="S826" s="11"/>
    </row>
    <row r="827" spans="1:19" ht="15.75">
      <c r="A827" s="13">
        <v>67053</v>
      </c>
      <c r="B827" s="8">
        <f>CHOOSE( CONTROL!$C$29, 29.286, 29.2817) * CHOOSE(CONTROL!$C$12, $D$11, 100%, $F$11)</f>
        <v>29.286000000000001</v>
      </c>
      <c r="C827" s="8">
        <f>CHOOSE( CONTROL!$C$29, 29.2964, 29.2922) * CHOOSE(CONTROL!$C$12, $D$11, 100%, $F$11)</f>
        <v>29.296399999999998</v>
      </c>
      <c r="D827" s="8">
        <f>CHOOSE( CONTROL!$C$29, 29.3026, 29.2983) * CHOOSE( CONTROL!$C$12, $D$11, 100%, $F$11)</f>
        <v>29.302600000000002</v>
      </c>
      <c r="E827" s="12">
        <f>CHOOSE( CONTROL!$C$29, 29.2988, 29.2945) * CHOOSE( CONTROL!$C$12, $D$11, 100%, $F$11)</f>
        <v>29.2988</v>
      </c>
      <c r="F827" s="4">
        <f>CHOOSE( CONTROL!$C$29, 30.2959, 30.2916) * CHOOSE(CONTROL!$C$12, $D$11, 100%, $F$11)</f>
        <v>30.2959</v>
      </c>
      <c r="G827" s="8">
        <f>CHOOSE( CONTROL!$C$29, 28.5479, 28.5438) * CHOOSE( CONTROL!$C$12, $D$11, 100%, $F$11)</f>
        <v>28.547899999999998</v>
      </c>
      <c r="H827" s="4">
        <f>CHOOSE( CONTROL!$C$29, 29.4553, 29.4511) * CHOOSE(CONTROL!$C$12, $D$11, 100%, $F$11)</f>
        <v>29.455300000000001</v>
      </c>
      <c r="I827" s="8">
        <f>CHOOSE( CONTROL!$C$29, 28.1553, 28.1512) * CHOOSE(CONTROL!$C$12, $D$11, 100%, $F$11)</f>
        <v>28.1553</v>
      </c>
      <c r="J827" s="4">
        <f>CHOOSE( CONTROL!$C$29, 28.0571, 28.053) * CHOOSE(CONTROL!$C$12, $D$11, 100%, $F$11)</f>
        <v>28.057099999999998</v>
      </c>
      <c r="K827" s="4"/>
      <c r="L827" s="9">
        <v>29.520499999999998</v>
      </c>
      <c r="M827" s="9">
        <v>12.063700000000001</v>
      </c>
      <c r="N827" s="9">
        <v>4.9444999999999997</v>
      </c>
      <c r="O827" s="9">
        <v>0.37459999999999999</v>
      </c>
      <c r="P827" s="9">
        <v>1.2192000000000001</v>
      </c>
      <c r="Q827" s="9">
        <v>19.688099999999999</v>
      </c>
      <c r="R827" s="9"/>
      <c r="S827" s="11"/>
    </row>
    <row r="828" spans="1:19" ht="15.75">
      <c r="A828" s="13">
        <v>67084</v>
      </c>
      <c r="B828" s="8">
        <f>CHOOSE( CONTROL!$C$29, 27.026, 27.0218) * CHOOSE(CONTROL!$C$12, $D$11, 100%, $F$11)</f>
        <v>27.026</v>
      </c>
      <c r="C828" s="8">
        <f>CHOOSE( CONTROL!$C$29, 27.0365, 27.0322) * CHOOSE(CONTROL!$C$12, $D$11, 100%, $F$11)</f>
        <v>27.0365</v>
      </c>
      <c r="D828" s="8">
        <f>CHOOSE( CONTROL!$C$29, 27.0591, 27.0548) * CHOOSE( CONTROL!$C$12, $D$11, 100%, $F$11)</f>
        <v>27.059100000000001</v>
      </c>
      <c r="E828" s="12">
        <f>CHOOSE( CONTROL!$C$29, 27.0493, 27.045) * CHOOSE( CONTROL!$C$12, $D$11, 100%, $F$11)</f>
        <v>27.049299999999999</v>
      </c>
      <c r="F828" s="4">
        <f>CHOOSE( CONTROL!$C$29, 28.0646, 28.0604) * CHOOSE(CONTROL!$C$12, $D$11, 100%, $F$11)</f>
        <v>28.064599999999999</v>
      </c>
      <c r="G828" s="8">
        <f>CHOOSE( CONTROL!$C$29, 26.3506, 26.3464) * CHOOSE( CONTROL!$C$12, $D$11, 100%, $F$11)</f>
        <v>26.3506</v>
      </c>
      <c r="H828" s="4">
        <f>CHOOSE( CONTROL!$C$29, 27.2803, 27.2762) * CHOOSE(CONTROL!$C$12, $D$11, 100%, $F$11)</f>
        <v>27.2803</v>
      </c>
      <c r="I828" s="8">
        <f>CHOOSE( CONTROL!$C$29, 25.9802, 25.9761) * CHOOSE(CONTROL!$C$12, $D$11, 100%, $F$11)</f>
        <v>25.9802</v>
      </c>
      <c r="J828" s="4">
        <f>CHOOSE( CONTROL!$C$29, 25.8916, 25.8875) * CHOOSE(CONTROL!$C$12, $D$11, 100%, $F$11)</f>
        <v>25.8916</v>
      </c>
      <c r="K828" s="4"/>
      <c r="L828" s="9">
        <v>29.520499999999998</v>
      </c>
      <c r="M828" s="9">
        <v>12.063700000000001</v>
      </c>
      <c r="N828" s="9">
        <v>4.9444999999999997</v>
      </c>
      <c r="O828" s="9">
        <v>0.37459999999999999</v>
      </c>
      <c r="P828" s="9">
        <v>1.2192000000000001</v>
      </c>
      <c r="Q828" s="9">
        <v>19.688099999999999</v>
      </c>
      <c r="R828" s="9"/>
      <c r="S828" s="11"/>
    </row>
    <row r="829" spans="1:19" ht="15.75">
      <c r="A829" s="13">
        <v>67114</v>
      </c>
      <c r="B829" s="8">
        <f>CHOOSE( CONTROL!$C$29, 26.4601, 26.4559) * CHOOSE(CONTROL!$C$12, $D$11, 100%, $F$11)</f>
        <v>26.460100000000001</v>
      </c>
      <c r="C829" s="8">
        <f>CHOOSE( CONTROL!$C$29, 26.4706, 26.4663) * CHOOSE(CONTROL!$C$12, $D$11, 100%, $F$11)</f>
        <v>26.470600000000001</v>
      </c>
      <c r="D829" s="8">
        <f>CHOOSE( CONTROL!$C$29, 26.4931, 26.4889) * CHOOSE( CONTROL!$C$12, $D$11, 100%, $F$11)</f>
        <v>26.493099999999998</v>
      </c>
      <c r="E829" s="12">
        <f>CHOOSE( CONTROL!$C$29, 26.4833, 26.4791) * CHOOSE( CONTROL!$C$12, $D$11, 100%, $F$11)</f>
        <v>26.4833</v>
      </c>
      <c r="F829" s="4">
        <f>CHOOSE( CONTROL!$C$29, 27.4987, 27.4944) * CHOOSE(CONTROL!$C$12, $D$11, 100%, $F$11)</f>
        <v>27.498699999999999</v>
      </c>
      <c r="G829" s="8">
        <f>CHOOSE( CONTROL!$C$29, 25.7986, 25.7945) * CHOOSE( CONTROL!$C$12, $D$11, 100%, $F$11)</f>
        <v>25.7986</v>
      </c>
      <c r="H829" s="4">
        <f>CHOOSE( CONTROL!$C$29, 26.7287, 26.7245) * CHOOSE(CONTROL!$C$12, $D$11, 100%, $F$11)</f>
        <v>26.7287</v>
      </c>
      <c r="I829" s="8">
        <f>CHOOSE( CONTROL!$C$29, 25.4359, 25.4318) * CHOOSE(CONTROL!$C$12, $D$11, 100%, $F$11)</f>
        <v>25.4359</v>
      </c>
      <c r="J829" s="4">
        <f>CHOOSE( CONTROL!$C$29, 25.3493, 25.3453) * CHOOSE(CONTROL!$C$12, $D$11, 100%, $F$11)</f>
        <v>25.349299999999999</v>
      </c>
      <c r="K829" s="4"/>
      <c r="L829" s="9">
        <v>28.568200000000001</v>
      </c>
      <c r="M829" s="9">
        <v>11.6745</v>
      </c>
      <c r="N829" s="9">
        <v>4.7850000000000001</v>
      </c>
      <c r="O829" s="9">
        <v>0.36249999999999999</v>
      </c>
      <c r="P829" s="9">
        <v>1.1798</v>
      </c>
      <c r="Q829" s="9">
        <v>19.053000000000001</v>
      </c>
      <c r="R829" s="9"/>
      <c r="S829" s="11"/>
    </row>
    <row r="830" spans="1:19" ht="15.75">
      <c r="A830" s="13">
        <v>67145</v>
      </c>
      <c r="B830" s="8">
        <f>27.6309 * CHOOSE(CONTROL!$C$12, $D$11, 100%, $F$11)</f>
        <v>27.6309</v>
      </c>
      <c r="C830" s="8">
        <f>27.6414 * CHOOSE(CONTROL!$C$12, $D$11, 100%, $F$11)</f>
        <v>27.641400000000001</v>
      </c>
      <c r="D830" s="8">
        <f>27.6458 * CHOOSE( CONTROL!$C$12, $D$11, 100%, $F$11)</f>
        <v>27.645800000000001</v>
      </c>
      <c r="E830" s="12">
        <f>27.6432 * CHOOSE( CONTROL!$C$12, $D$11, 100%, $F$11)</f>
        <v>27.6432</v>
      </c>
      <c r="F830" s="4">
        <f>28.6382 * CHOOSE(CONTROL!$C$12, $D$11, 100%, $F$11)</f>
        <v>28.638200000000001</v>
      </c>
      <c r="G830" s="8">
        <f>26.9301 * CHOOSE( CONTROL!$C$12, $D$11, 100%, $F$11)</f>
        <v>26.930099999999999</v>
      </c>
      <c r="H830" s="4">
        <f>27.8394 * CHOOSE(CONTROL!$C$12, $D$11, 100%, $F$11)</f>
        <v>27.839400000000001</v>
      </c>
      <c r="I830" s="8">
        <f>26.555 * CHOOSE(CONTROL!$C$12, $D$11, 100%, $F$11)</f>
        <v>26.555</v>
      </c>
      <c r="J830" s="4">
        <f>26.4712 * CHOOSE(CONTROL!$C$12, $D$11, 100%, $F$11)</f>
        <v>26.4712</v>
      </c>
      <c r="K830" s="4"/>
      <c r="L830" s="9">
        <v>28.921800000000001</v>
      </c>
      <c r="M830" s="9">
        <v>12.063700000000001</v>
      </c>
      <c r="N830" s="9">
        <v>4.9444999999999997</v>
      </c>
      <c r="O830" s="9">
        <v>0.37459999999999999</v>
      </c>
      <c r="P830" s="9">
        <v>1.2192000000000001</v>
      </c>
      <c r="Q830" s="9">
        <v>19.688099999999999</v>
      </c>
      <c r="R830" s="9"/>
      <c r="S830" s="11"/>
    </row>
    <row r="831" spans="1:19" ht="15.75">
      <c r="A831" s="13">
        <v>67175</v>
      </c>
      <c r="B831" s="8">
        <f>29.7998 * CHOOSE(CONTROL!$C$12, $D$11, 100%, $F$11)</f>
        <v>29.799800000000001</v>
      </c>
      <c r="C831" s="8">
        <f>29.8102 * CHOOSE(CONTROL!$C$12, $D$11, 100%, $F$11)</f>
        <v>29.810199999999998</v>
      </c>
      <c r="D831" s="8">
        <f>29.7926 * CHOOSE( CONTROL!$C$12, $D$11, 100%, $F$11)</f>
        <v>29.7926</v>
      </c>
      <c r="E831" s="12">
        <f>29.7979 * CHOOSE( CONTROL!$C$12, $D$11, 100%, $F$11)</f>
        <v>29.797899999999998</v>
      </c>
      <c r="F831" s="4">
        <f>30.794 * CHOOSE(CONTROL!$C$12, $D$11, 100%, $F$11)</f>
        <v>30.794</v>
      </c>
      <c r="G831" s="8">
        <f>29.0568 * CHOOSE( CONTROL!$C$12, $D$11, 100%, $F$11)</f>
        <v>29.056799999999999</v>
      </c>
      <c r="H831" s="4">
        <f>29.9409 * CHOOSE(CONTROL!$C$12, $D$11, 100%, $F$11)</f>
        <v>29.940899999999999</v>
      </c>
      <c r="I831" s="8">
        <f>28.6577 * CHOOSE(CONTROL!$C$12, $D$11, 100%, $F$11)</f>
        <v>28.657699999999998</v>
      </c>
      <c r="J831" s="4">
        <f>28.5494 * CHOOSE(CONTROL!$C$12, $D$11, 100%, $F$11)</f>
        <v>28.549399999999999</v>
      </c>
      <c r="K831" s="4"/>
      <c r="L831" s="9">
        <v>26.515499999999999</v>
      </c>
      <c r="M831" s="9">
        <v>11.6745</v>
      </c>
      <c r="N831" s="9">
        <v>4.7850000000000001</v>
      </c>
      <c r="O831" s="9">
        <v>0.36249999999999999</v>
      </c>
      <c r="P831" s="9">
        <v>1.2522</v>
      </c>
      <c r="Q831" s="9">
        <v>19.053000000000001</v>
      </c>
      <c r="R831" s="9"/>
      <c r="S831" s="11"/>
    </row>
    <row r="832" spans="1:19" ht="15.75">
      <c r="A832" s="13">
        <v>67206</v>
      </c>
      <c r="B832" s="8">
        <f>29.7456 * CHOOSE(CONTROL!$C$12, $D$11, 100%, $F$11)</f>
        <v>29.7456</v>
      </c>
      <c r="C832" s="8">
        <f>29.7561 * CHOOSE(CONTROL!$C$12, $D$11, 100%, $F$11)</f>
        <v>29.7561</v>
      </c>
      <c r="D832" s="8">
        <f>29.7405 * CHOOSE( CONTROL!$C$12, $D$11, 100%, $F$11)</f>
        <v>29.740500000000001</v>
      </c>
      <c r="E832" s="12">
        <f>29.7451 * CHOOSE( CONTROL!$C$12, $D$11, 100%, $F$11)</f>
        <v>29.745100000000001</v>
      </c>
      <c r="F832" s="4">
        <f>30.7398 * CHOOSE(CONTROL!$C$12, $D$11, 100%, $F$11)</f>
        <v>30.739799999999999</v>
      </c>
      <c r="G832" s="8">
        <f>29.0055 * CHOOSE( CONTROL!$C$12, $D$11, 100%, $F$11)</f>
        <v>29.005500000000001</v>
      </c>
      <c r="H832" s="4">
        <f>29.8881 * CHOOSE(CONTROL!$C$12, $D$11, 100%, $F$11)</f>
        <v>29.888100000000001</v>
      </c>
      <c r="I832" s="8">
        <f>28.613 * CHOOSE(CONTROL!$C$12, $D$11, 100%, $F$11)</f>
        <v>28.613</v>
      </c>
      <c r="J832" s="4">
        <f>28.4975 * CHOOSE(CONTROL!$C$12, $D$11, 100%, $F$11)</f>
        <v>28.497499999999999</v>
      </c>
      <c r="K832" s="4"/>
      <c r="L832" s="9">
        <v>27.3993</v>
      </c>
      <c r="M832" s="9">
        <v>12.063700000000001</v>
      </c>
      <c r="N832" s="9">
        <v>4.9444999999999997</v>
      </c>
      <c r="O832" s="9">
        <v>0.37459999999999999</v>
      </c>
      <c r="P832" s="9">
        <v>1.2939000000000001</v>
      </c>
      <c r="Q832" s="9">
        <v>19.688099999999999</v>
      </c>
      <c r="R832" s="9"/>
      <c r="S832" s="11"/>
    </row>
    <row r="833" spans="1:19" ht="15.75">
      <c r="A833" s="13">
        <v>67237</v>
      </c>
      <c r="B833" s="8">
        <f>30.8823 * CHOOSE(CONTROL!$C$12, $D$11, 100%, $F$11)</f>
        <v>30.882300000000001</v>
      </c>
      <c r="C833" s="8">
        <f>30.8927 * CHOOSE(CONTROL!$C$12, $D$11, 100%, $F$11)</f>
        <v>30.892700000000001</v>
      </c>
      <c r="D833" s="8">
        <f>30.8904 * CHOOSE( CONTROL!$C$12, $D$11, 100%, $F$11)</f>
        <v>30.8904</v>
      </c>
      <c r="E833" s="12">
        <f>30.8901 * CHOOSE( CONTROL!$C$12, $D$11, 100%, $F$11)</f>
        <v>30.8901</v>
      </c>
      <c r="F833" s="4">
        <f>31.9052 * CHOOSE(CONTROL!$C$12, $D$11, 100%, $F$11)</f>
        <v>31.905200000000001</v>
      </c>
      <c r="G833" s="8">
        <f>30.1307 * CHOOSE( CONTROL!$C$12, $D$11, 100%, $F$11)</f>
        <v>30.130700000000001</v>
      </c>
      <c r="H833" s="4">
        <f>31.024 * CHOOSE(CONTROL!$C$12, $D$11, 100%, $F$11)</f>
        <v>31.024000000000001</v>
      </c>
      <c r="I833" s="8">
        <f>29.71 * CHOOSE(CONTROL!$C$12, $D$11, 100%, $F$11)</f>
        <v>29.71</v>
      </c>
      <c r="J833" s="4">
        <f>29.5867 * CHOOSE(CONTROL!$C$12, $D$11, 100%, $F$11)</f>
        <v>29.5867</v>
      </c>
      <c r="K833" s="4"/>
      <c r="L833" s="9">
        <v>27.3993</v>
      </c>
      <c r="M833" s="9">
        <v>12.063700000000001</v>
      </c>
      <c r="N833" s="9">
        <v>4.9444999999999997</v>
      </c>
      <c r="O833" s="9">
        <v>0.37459999999999999</v>
      </c>
      <c r="P833" s="9">
        <v>1.2939000000000001</v>
      </c>
      <c r="Q833" s="9">
        <v>19.688099999999999</v>
      </c>
      <c r="R833" s="9"/>
      <c r="S833" s="11"/>
    </row>
    <row r="834" spans="1:19" ht="15.75">
      <c r="A834" s="13">
        <v>67266</v>
      </c>
      <c r="B834" s="8">
        <f>28.8861 * CHOOSE(CONTROL!$C$12, $D$11, 100%, $F$11)</f>
        <v>28.886099999999999</v>
      </c>
      <c r="C834" s="8">
        <f>28.8966 * CHOOSE(CONTROL!$C$12, $D$11, 100%, $F$11)</f>
        <v>28.896599999999999</v>
      </c>
      <c r="D834" s="8">
        <f>28.8965 * CHOOSE( CONTROL!$C$12, $D$11, 100%, $F$11)</f>
        <v>28.8965</v>
      </c>
      <c r="E834" s="12">
        <f>28.8954 * CHOOSE( CONTROL!$C$12, $D$11, 100%, $F$11)</f>
        <v>28.895399999999999</v>
      </c>
      <c r="F834" s="4">
        <f>29.9012 * CHOOSE(CONTROL!$C$12, $D$11, 100%, $F$11)</f>
        <v>29.901199999999999</v>
      </c>
      <c r="G834" s="8">
        <f>28.1847 * CHOOSE( CONTROL!$C$12, $D$11, 100%, $F$11)</f>
        <v>28.184699999999999</v>
      </c>
      <c r="H834" s="4">
        <f>29.0706 * CHOOSE(CONTROL!$C$12, $D$11, 100%, $F$11)</f>
        <v>29.070599999999999</v>
      </c>
      <c r="I834" s="8">
        <f>27.7854 * CHOOSE(CONTROL!$C$12, $D$11, 100%, $F$11)</f>
        <v>27.785399999999999</v>
      </c>
      <c r="J834" s="4">
        <f>27.6739 * CHOOSE(CONTROL!$C$12, $D$11, 100%, $F$11)</f>
        <v>27.6739</v>
      </c>
      <c r="K834" s="4"/>
      <c r="L834" s="9">
        <v>25.631599999999999</v>
      </c>
      <c r="M834" s="9">
        <v>11.285299999999999</v>
      </c>
      <c r="N834" s="9">
        <v>4.6254999999999997</v>
      </c>
      <c r="O834" s="9">
        <v>0.35039999999999999</v>
      </c>
      <c r="P834" s="9">
        <v>1.2104999999999999</v>
      </c>
      <c r="Q834" s="9">
        <v>18.417899999999999</v>
      </c>
      <c r="R834" s="9"/>
      <c r="S834" s="11"/>
    </row>
    <row r="835" spans="1:19" ht="15.75">
      <c r="A835" s="13">
        <v>67297</v>
      </c>
      <c r="B835" s="8">
        <f>28.2713 * CHOOSE(CONTROL!$C$12, $D$11, 100%, $F$11)</f>
        <v>28.2713</v>
      </c>
      <c r="C835" s="8">
        <f>28.2817 * CHOOSE(CONTROL!$C$12, $D$11, 100%, $F$11)</f>
        <v>28.281700000000001</v>
      </c>
      <c r="D835" s="8">
        <f>28.2616 * CHOOSE( CONTROL!$C$12, $D$11, 100%, $F$11)</f>
        <v>28.261600000000001</v>
      </c>
      <c r="E835" s="12">
        <f>28.2678 * CHOOSE( CONTROL!$C$12, $D$11, 100%, $F$11)</f>
        <v>28.267800000000001</v>
      </c>
      <c r="F835" s="4">
        <f>29.2702 * CHOOSE(CONTROL!$C$12, $D$11, 100%, $F$11)</f>
        <v>29.270199999999999</v>
      </c>
      <c r="G835" s="8">
        <f>27.5649 * CHOOSE( CONTROL!$C$12, $D$11, 100%, $F$11)</f>
        <v>27.564900000000002</v>
      </c>
      <c r="H835" s="4">
        <f>28.4555 * CHOOSE(CONTROL!$C$12, $D$11, 100%, $F$11)</f>
        <v>28.455500000000001</v>
      </c>
      <c r="I835" s="8">
        <f>27.1565 * CHOOSE(CONTROL!$C$12, $D$11, 100%, $F$11)</f>
        <v>27.156500000000001</v>
      </c>
      <c r="J835" s="4">
        <f>27.0848 * CHOOSE(CONTROL!$C$12, $D$11, 100%, $F$11)</f>
        <v>27.084800000000001</v>
      </c>
      <c r="K835" s="4"/>
      <c r="L835" s="9">
        <v>27.3993</v>
      </c>
      <c r="M835" s="9">
        <v>12.063700000000001</v>
      </c>
      <c r="N835" s="9">
        <v>4.9444999999999997</v>
      </c>
      <c r="O835" s="9">
        <v>0.37459999999999999</v>
      </c>
      <c r="P835" s="9">
        <v>1.2939000000000001</v>
      </c>
      <c r="Q835" s="9">
        <v>19.688099999999999</v>
      </c>
      <c r="R835" s="9"/>
      <c r="S835" s="11"/>
    </row>
    <row r="836" spans="1:19" ht="15.75">
      <c r="A836" s="13">
        <v>67327</v>
      </c>
      <c r="B836" s="8">
        <f>28.7009 * CHOOSE(CONTROL!$C$12, $D$11, 100%, $F$11)</f>
        <v>28.700900000000001</v>
      </c>
      <c r="C836" s="8">
        <f>28.7114 * CHOOSE(CONTROL!$C$12, $D$11, 100%, $F$11)</f>
        <v>28.711400000000001</v>
      </c>
      <c r="D836" s="8">
        <f>28.7146 * CHOOSE( CONTROL!$C$12, $D$11, 100%, $F$11)</f>
        <v>28.714600000000001</v>
      </c>
      <c r="E836" s="12">
        <f>28.7123 * CHOOSE( CONTROL!$C$12, $D$11, 100%, $F$11)</f>
        <v>28.712299999999999</v>
      </c>
      <c r="F836" s="4">
        <f>29.7082 * CHOOSE(CONTROL!$C$12, $D$11, 100%, $F$11)</f>
        <v>29.708200000000001</v>
      </c>
      <c r="G836" s="8">
        <f>27.9716 * CHOOSE( CONTROL!$C$12, $D$11, 100%, $F$11)</f>
        <v>27.971599999999999</v>
      </c>
      <c r="H836" s="4">
        <f>28.8824 * CHOOSE(CONTROL!$C$12, $D$11, 100%, $F$11)</f>
        <v>28.882400000000001</v>
      </c>
      <c r="I836" s="8">
        <f>27.5585 * CHOOSE(CONTROL!$C$12, $D$11, 100%, $F$11)</f>
        <v>27.558499999999999</v>
      </c>
      <c r="J836" s="4">
        <f>27.4965 * CHOOSE(CONTROL!$C$12, $D$11, 100%, $F$11)</f>
        <v>27.496500000000001</v>
      </c>
      <c r="K836" s="4"/>
      <c r="L836" s="9">
        <v>27.988800000000001</v>
      </c>
      <c r="M836" s="9">
        <v>11.6745</v>
      </c>
      <c r="N836" s="9">
        <v>4.7850000000000001</v>
      </c>
      <c r="O836" s="9">
        <v>0.36249999999999999</v>
      </c>
      <c r="P836" s="9">
        <v>1.1798</v>
      </c>
      <c r="Q836" s="9">
        <v>19.053000000000001</v>
      </c>
      <c r="R836" s="9"/>
      <c r="S836" s="11"/>
    </row>
    <row r="837" spans="1:19" ht="15.75">
      <c r="A837" s="13">
        <v>67358</v>
      </c>
      <c r="B837" s="8">
        <f>CHOOSE( CONTROL!$C$29, 29.4698, 29.4655) * CHOOSE(CONTROL!$C$12, $D$11, 100%, $F$11)</f>
        <v>29.469799999999999</v>
      </c>
      <c r="C837" s="8">
        <f>CHOOSE( CONTROL!$C$29, 29.4802, 29.476) * CHOOSE(CONTROL!$C$12, $D$11, 100%, $F$11)</f>
        <v>29.4802</v>
      </c>
      <c r="D837" s="8">
        <f>CHOOSE( CONTROL!$C$29, 29.4581, 29.4539) * CHOOSE( CONTROL!$C$12, $D$11, 100%, $F$11)</f>
        <v>29.458100000000002</v>
      </c>
      <c r="E837" s="12">
        <f>CHOOSE( CONTROL!$C$29, 29.4645, 29.4603) * CHOOSE( CONTROL!$C$12, $D$11, 100%, $F$11)</f>
        <v>29.464500000000001</v>
      </c>
      <c r="F837" s="4">
        <f>CHOOSE( CONTROL!$C$29, 30.4447, 30.4405) * CHOOSE(CONTROL!$C$12, $D$11, 100%, $F$11)</f>
        <v>30.444700000000001</v>
      </c>
      <c r="G837" s="8">
        <f>CHOOSE( CONTROL!$C$29, 28.7023, 28.6981) * CHOOSE( CONTROL!$C$12, $D$11, 100%, $F$11)</f>
        <v>28.702300000000001</v>
      </c>
      <c r="H837" s="4">
        <f>CHOOSE( CONTROL!$C$29, 29.6004, 29.5962) * CHOOSE(CONTROL!$C$12, $D$11, 100%, $F$11)</f>
        <v>29.6004</v>
      </c>
      <c r="I837" s="8">
        <f>CHOOSE( CONTROL!$C$29, 28.274, 28.27) * CHOOSE(CONTROL!$C$12, $D$11, 100%, $F$11)</f>
        <v>28.274000000000001</v>
      </c>
      <c r="J837" s="4">
        <f>CHOOSE( CONTROL!$C$29, 28.2332, 28.2291) * CHOOSE(CONTROL!$C$12, $D$11, 100%, $F$11)</f>
        <v>28.2332</v>
      </c>
      <c r="K837" s="4"/>
      <c r="L837" s="9">
        <v>29.520499999999998</v>
      </c>
      <c r="M837" s="9">
        <v>12.063700000000001</v>
      </c>
      <c r="N837" s="9">
        <v>4.9444999999999997</v>
      </c>
      <c r="O837" s="9">
        <v>0.37459999999999999</v>
      </c>
      <c r="P837" s="9">
        <v>1.2192000000000001</v>
      </c>
      <c r="Q837" s="9">
        <v>19.688099999999999</v>
      </c>
      <c r="R837" s="9"/>
      <c r="S837" s="11"/>
    </row>
    <row r="838" spans="1:19" ht="15.75">
      <c r="A838" s="13">
        <v>67388</v>
      </c>
      <c r="B838" s="8">
        <f>CHOOSE( CONTROL!$C$29, 28.9961, 28.9919) * CHOOSE(CONTROL!$C$12, $D$11, 100%, $F$11)</f>
        <v>28.996099999999998</v>
      </c>
      <c r="C838" s="8">
        <f>CHOOSE( CONTROL!$C$29, 29.0066, 29.0023) * CHOOSE(CONTROL!$C$12, $D$11, 100%, $F$11)</f>
        <v>29.006599999999999</v>
      </c>
      <c r="D838" s="8">
        <f>CHOOSE( CONTROL!$C$29, 28.9789, 28.9747) * CHOOSE( CONTROL!$C$12, $D$11, 100%, $F$11)</f>
        <v>28.978899999999999</v>
      </c>
      <c r="E838" s="12">
        <f>CHOOSE( CONTROL!$C$29, 28.9873, 28.9831) * CHOOSE( CONTROL!$C$12, $D$11, 100%, $F$11)</f>
        <v>28.987300000000001</v>
      </c>
      <c r="F838" s="4">
        <f>CHOOSE( CONTROL!$C$29, 29.9606, 29.9564) * CHOOSE(CONTROL!$C$12, $D$11, 100%, $F$11)</f>
        <v>29.960599999999999</v>
      </c>
      <c r="G838" s="8">
        <f>CHOOSE( CONTROL!$C$29, 28.2393, 28.2352) * CHOOSE( CONTROL!$C$12, $D$11, 100%, $F$11)</f>
        <v>28.2393</v>
      </c>
      <c r="H838" s="4">
        <f>CHOOSE( CONTROL!$C$29, 29.1285, 29.1243) * CHOOSE(CONTROL!$C$12, $D$11, 100%, $F$11)</f>
        <v>29.128499999999999</v>
      </c>
      <c r="I838" s="8">
        <f>CHOOSE( CONTROL!$C$29, 27.8221, 27.818) * CHOOSE(CONTROL!$C$12, $D$11, 100%, $F$11)</f>
        <v>27.822099999999999</v>
      </c>
      <c r="J838" s="4">
        <f>CHOOSE( CONTROL!$C$29, 27.7793, 27.7753) * CHOOSE(CONTROL!$C$12, $D$11, 100%, $F$11)</f>
        <v>27.779299999999999</v>
      </c>
      <c r="K838" s="4"/>
      <c r="L838" s="9">
        <v>28.568200000000001</v>
      </c>
      <c r="M838" s="9">
        <v>11.6745</v>
      </c>
      <c r="N838" s="9">
        <v>4.7850000000000001</v>
      </c>
      <c r="O838" s="9">
        <v>0.36249999999999999</v>
      </c>
      <c r="P838" s="9">
        <v>1.1798</v>
      </c>
      <c r="Q838" s="9">
        <v>19.053000000000001</v>
      </c>
      <c r="R838" s="9"/>
      <c r="S838" s="11"/>
    </row>
    <row r="839" spans="1:19" ht="15.75">
      <c r="A839" s="13">
        <v>67419</v>
      </c>
      <c r="B839" s="8">
        <f>CHOOSE( CONTROL!$C$29, 30.2435, 30.2392) * CHOOSE(CONTROL!$C$12, $D$11, 100%, $F$11)</f>
        <v>30.243500000000001</v>
      </c>
      <c r="C839" s="8">
        <f>CHOOSE( CONTROL!$C$29, 30.2539, 30.2496) * CHOOSE(CONTROL!$C$12, $D$11, 100%, $F$11)</f>
        <v>30.253900000000002</v>
      </c>
      <c r="D839" s="8">
        <f>CHOOSE( CONTROL!$C$29, 30.26, 30.2558) * CHOOSE( CONTROL!$C$12, $D$11, 100%, $F$11)</f>
        <v>30.26</v>
      </c>
      <c r="E839" s="12">
        <f>CHOOSE( CONTROL!$C$29, 30.2562, 30.252) * CHOOSE( CONTROL!$C$12, $D$11, 100%, $F$11)</f>
        <v>30.2562</v>
      </c>
      <c r="F839" s="4">
        <f>CHOOSE( CONTROL!$C$29, 31.2533, 31.2491) * CHOOSE(CONTROL!$C$12, $D$11, 100%, $F$11)</f>
        <v>31.253299999999999</v>
      </c>
      <c r="G839" s="8">
        <f>CHOOSE( CONTROL!$C$29, 29.4812, 29.4771) * CHOOSE( CONTROL!$C$12, $D$11, 100%, $F$11)</f>
        <v>29.481200000000001</v>
      </c>
      <c r="H839" s="4">
        <f>CHOOSE( CONTROL!$C$29, 30.3886, 30.3844) * CHOOSE(CONTROL!$C$12, $D$11, 100%, $F$11)</f>
        <v>30.3886</v>
      </c>
      <c r="I839" s="8">
        <f>CHOOSE( CONTROL!$C$29, 29.0732, 29.0691) * CHOOSE(CONTROL!$C$12, $D$11, 100%, $F$11)</f>
        <v>29.0732</v>
      </c>
      <c r="J839" s="4">
        <f>CHOOSE( CONTROL!$C$29, 28.9745, 28.9705) * CHOOSE(CONTROL!$C$12, $D$11, 100%, $F$11)</f>
        <v>28.974499999999999</v>
      </c>
      <c r="K839" s="4"/>
      <c r="L839" s="9">
        <v>29.520499999999998</v>
      </c>
      <c r="M839" s="9">
        <v>12.063700000000001</v>
      </c>
      <c r="N839" s="9">
        <v>4.9444999999999997</v>
      </c>
      <c r="O839" s="9">
        <v>0.37459999999999999</v>
      </c>
      <c r="P839" s="9">
        <v>1.2192000000000001</v>
      </c>
      <c r="Q839" s="9">
        <v>19.688099999999999</v>
      </c>
      <c r="R839" s="9"/>
      <c r="S839" s="11"/>
    </row>
    <row r="840" spans="1:19" ht="15.75">
      <c r="A840" s="13">
        <v>67450</v>
      </c>
      <c r="B840" s="8">
        <f>CHOOSE( CONTROL!$C$29, 27.9096, 27.9053) * CHOOSE(CONTROL!$C$12, $D$11, 100%, $F$11)</f>
        <v>27.909600000000001</v>
      </c>
      <c r="C840" s="8">
        <f>CHOOSE( CONTROL!$C$29, 27.92, 27.9158) * CHOOSE(CONTROL!$C$12, $D$11, 100%, $F$11)</f>
        <v>27.92</v>
      </c>
      <c r="D840" s="8">
        <f>CHOOSE( CONTROL!$C$29, 27.9426, 27.9384) * CHOOSE( CONTROL!$C$12, $D$11, 100%, $F$11)</f>
        <v>27.942599999999999</v>
      </c>
      <c r="E840" s="12">
        <f>CHOOSE( CONTROL!$C$29, 27.9328, 27.9286) * CHOOSE( CONTROL!$C$12, $D$11, 100%, $F$11)</f>
        <v>27.9328</v>
      </c>
      <c r="F840" s="4">
        <f>CHOOSE( CONTROL!$C$29, 28.9482, 28.9439) * CHOOSE(CONTROL!$C$12, $D$11, 100%, $F$11)</f>
        <v>28.9482</v>
      </c>
      <c r="G840" s="8">
        <f>CHOOSE( CONTROL!$C$29, 27.2118, 27.2077) * CHOOSE( CONTROL!$C$12, $D$11, 100%, $F$11)</f>
        <v>27.2118</v>
      </c>
      <c r="H840" s="4">
        <f>CHOOSE( CONTROL!$C$29, 28.1416, 28.1374) * CHOOSE(CONTROL!$C$12, $D$11, 100%, $F$11)</f>
        <v>28.1416</v>
      </c>
      <c r="I840" s="8">
        <f>CHOOSE( CONTROL!$C$29, 26.8272, 26.8231) * CHOOSE(CONTROL!$C$12, $D$11, 100%, $F$11)</f>
        <v>26.827200000000001</v>
      </c>
      <c r="J840" s="4">
        <f>CHOOSE( CONTROL!$C$29, 26.7382, 26.7341) * CHOOSE(CONTROL!$C$12, $D$11, 100%, $F$11)</f>
        <v>26.738199999999999</v>
      </c>
      <c r="K840" s="4"/>
      <c r="L840" s="9">
        <v>29.520499999999998</v>
      </c>
      <c r="M840" s="9">
        <v>12.063700000000001</v>
      </c>
      <c r="N840" s="9">
        <v>4.9444999999999997</v>
      </c>
      <c r="O840" s="9">
        <v>0.37459999999999999</v>
      </c>
      <c r="P840" s="9">
        <v>1.2192000000000001</v>
      </c>
      <c r="Q840" s="9">
        <v>19.688099999999999</v>
      </c>
      <c r="R840" s="9"/>
      <c r="S840" s="11"/>
    </row>
    <row r="841" spans="1:19" ht="15.75">
      <c r="A841" s="13">
        <v>67480</v>
      </c>
      <c r="B841" s="8">
        <f>CHOOSE( CONTROL!$C$29, 27.3252, 27.3209) * CHOOSE(CONTROL!$C$12, $D$11, 100%, $F$11)</f>
        <v>27.325199999999999</v>
      </c>
      <c r="C841" s="8">
        <f>CHOOSE( CONTROL!$C$29, 27.3356, 27.3314) * CHOOSE(CONTROL!$C$12, $D$11, 100%, $F$11)</f>
        <v>27.335599999999999</v>
      </c>
      <c r="D841" s="8">
        <f>CHOOSE( CONTROL!$C$29, 27.3582, 27.3539) * CHOOSE( CONTROL!$C$12, $D$11, 100%, $F$11)</f>
        <v>27.3582</v>
      </c>
      <c r="E841" s="12">
        <f>CHOOSE( CONTROL!$C$29, 27.3484, 27.3441) * CHOOSE( CONTROL!$C$12, $D$11, 100%, $F$11)</f>
        <v>27.348400000000002</v>
      </c>
      <c r="F841" s="4">
        <f>CHOOSE( CONTROL!$C$29, 28.3637, 28.3595) * CHOOSE(CONTROL!$C$12, $D$11, 100%, $F$11)</f>
        <v>28.363700000000001</v>
      </c>
      <c r="G841" s="8">
        <f>CHOOSE( CONTROL!$C$29, 26.6418, 26.6377) * CHOOSE( CONTROL!$C$12, $D$11, 100%, $F$11)</f>
        <v>26.6418</v>
      </c>
      <c r="H841" s="4">
        <f>CHOOSE( CONTROL!$C$29, 27.5719, 27.5678) * CHOOSE(CONTROL!$C$12, $D$11, 100%, $F$11)</f>
        <v>27.571899999999999</v>
      </c>
      <c r="I841" s="8">
        <f>CHOOSE( CONTROL!$C$29, 26.2652, 26.2611) * CHOOSE(CONTROL!$C$12, $D$11, 100%, $F$11)</f>
        <v>26.2652</v>
      </c>
      <c r="J841" s="4">
        <f>CHOOSE( CONTROL!$C$29, 26.1782, 26.1741) * CHOOSE(CONTROL!$C$12, $D$11, 100%, $F$11)</f>
        <v>26.1782</v>
      </c>
      <c r="K841" s="4"/>
      <c r="L841" s="9">
        <v>28.568200000000001</v>
      </c>
      <c r="M841" s="9">
        <v>11.6745</v>
      </c>
      <c r="N841" s="9">
        <v>4.7850000000000001</v>
      </c>
      <c r="O841" s="9">
        <v>0.36249999999999999</v>
      </c>
      <c r="P841" s="9">
        <v>1.1798</v>
      </c>
      <c r="Q841" s="9">
        <v>19.053000000000001</v>
      </c>
      <c r="R841" s="9"/>
      <c r="S841" s="11"/>
    </row>
    <row r="842" spans="1:19" ht="15.75">
      <c r="A842" s="13">
        <v>67511</v>
      </c>
      <c r="B842" s="8">
        <f>28.5344 * CHOOSE(CONTROL!$C$12, $D$11, 100%, $F$11)</f>
        <v>28.534400000000002</v>
      </c>
      <c r="C842" s="8">
        <f>28.5448 * CHOOSE(CONTROL!$C$12, $D$11, 100%, $F$11)</f>
        <v>28.544799999999999</v>
      </c>
      <c r="D842" s="8">
        <f>28.5493 * CHOOSE( CONTROL!$C$12, $D$11, 100%, $F$11)</f>
        <v>28.549299999999999</v>
      </c>
      <c r="E842" s="12">
        <f>28.5467 * CHOOSE( CONTROL!$C$12, $D$11, 100%, $F$11)</f>
        <v>28.546700000000001</v>
      </c>
      <c r="F842" s="4">
        <f>29.5416 * CHOOSE(CONTROL!$C$12, $D$11, 100%, $F$11)</f>
        <v>29.541599999999999</v>
      </c>
      <c r="G842" s="8">
        <f>27.8108 * CHOOSE( CONTROL!$C$12, $D$11, 100%, $F$11)</f>
        <v>27.8108</v>
      </c>
      <c r="H842" s="4">
        <f>28.7201 * CHOOSE(CONTROL!$C$12, $D$11, 100%, $F$11)</f>
        <v>28.720099999999999</v>
      </c>
      <c r="I842" s="8">
        <f>27.4211 * CHOOSE(CONTROL!$C$12, $D$11, 100%, $F$11)</f>
        <v>27.421099999999999</v>
      </c>
      <c r="J842" s="4">
        <f>27.3369 * CHOOSE(CONTROL!$C$12, $D$11, 100%, $F$11)</f>
        <v>27.3369</v>
      </c>
      <c r="K842" s="4"/>
      <c r="L842" s="9">
        <v>28.921800000000001</v>
      </c>
      <c r="M842" s="9">
        <v>12.063700000000001</v>
      </c>
      <c r="N842" s="9">
        <v>4.9444999999999997</v>
      </c>
      <c r="O842" s="9">
        <v>0.37459999999999999</v>
      </c>
      <c r="P842" s="9">
        <v>1.2192000000000001</v>
      </c>
      <c r="Q842" s="9">
        <v>19.688099999999999</v>
      </c>
      <c r="R842" s="9"/>
      <c r="S842" s="11"/>
    </row>
    <row r="843" spans="1:19" ht="15.75">
      <c r="A843" s="13">
        <v>67541</v>
      </c>
      <c r="B843" s="8">
        <f>30.7742 * CHOOSE(CONTROL!$C$12, $D$11, 100%, $F$11)</f>
        <v>30.7742</v>
      </c>
      <c r="C843" s="8">
        <f>30.7846 * CHOOSE(CONTROL!$C$12, $D$11, 100%, $F$11)</f>
        <v>30.784600000000001</v>
      </c>
      <c r="D843" s="8">
        <f>30.767 * CHOOSE( CONTROL!$C$12, $D$11, 100%, $F$11)</f>
        <v>30.766999999999999</v>
      </c>
      <c r="E843" s="12">
        <f>30.7723 * CHOOSE( CONTROL!$C$12, $D$11, 100%, $F$11)</f>
        <v>30.772300000000001</v>
      </c>
      <c r="F843" s="4">
        <f>31.7684 * CHOOSE(CONTROL!$C$12, $D$11, 100%, $F$11)</f>
        <v>31.7684</v>
      </c>
      <c r="G843" s="8">
        <f>30.0066 * CHOOSE( CONTROL!$C$12, $D$11, 100%, $F$11)</f>
        <v>30.006599999999999</v>
      </c>
      <c r="H843" s="4">
        <f>30.8907 * CHOOSE(CONTROL!$C$12, $D$11, 100%, $F$11)</f>
        <v>30.890699999999999</v>
      </c>
      <c r="I843" s="8">
        <f>29.5918 * CHOOSE(CONTROL!$C$12, $D$11, 100%, $F$11)</f>
        <v>29.591799999999999</v>
      </c>
      <c r="J843" s="4">
        <f>29.4831 * CHOOSE(CONTROL!$C$12, $D$11, 100%, $F$11)</f>
        <v>29.4831</v>
      </c>
      <c r="K843" s="4"/>
      <c r="L843" s="9">
        <v>26.515499999999999</v>
      </c>
      <c r="M843" s="9">
        <v>11.6745</v>
      </c>
      <c r="N843" s="9">
        <v>4.7850000000000001</v>
      </c>
      <c r="O843" s="9">
        <v>0.36249999999999999</v>
      </c>
      <c r="P843" s="9">
        <v>1.2522</v>
      </c>
      <c r="Q843" s="9">
        <v>19.053000000000001</v>
      </c>
      <c r="R843" s="9"/>
      <c r="S843" s="11"/>
    </row>
    <row r="844" spans="1:19" ht="15.75">
      <c r="A844" s="13">
        <v>67572</v>
      </c>
      <c r="B844" s="8">
        <f>30.7183 * CHOOSE(CONTROL!$C$12, $D$11, 100%, $F$11)</f>
        <v>30.718299999999999</v>
      </c>
      <c r="C844" s="8">
        <f>30.7287 * CHOOSE(CONTROL!$C$12, $D$11, 100%, $F$11)</f>
        <v>30.7287</v>
      </c>
      <c r="D844" s="8">
        <f>30.7131 * CHOOSE( CONTROL!$C$12, $D$11, 100%, $F$11)</f>
        <v>30.713100000000001</v>
      </c>
      <c r="E844" s="12">
        <f>30.7177 * CHOOSE( CONTROL!$C$12, $D$11, 100%, $F$11)</f>
        <v>30.717700000000001</v>
      </c>
      <c r="F844" s="4">
        <f>31.7125 * CHOOSE(CONTROL!$C$12, $D$11, 100%, $F$11)</f>
        <v>31.712499999999999</v>
      </c>
      <c r="G844" s="8">
        <f>29.9536 * CHOOSE( CONTROL!$C$12, $D$11, 100%, $F$11)</f>
        <v>29.953600000000002</v>
      </c>
      <c r="H844" s="4">
        <f>30.8361 * CHOOSE(CONTROL!$C$12, $D$11, 100%, $F$11)</f>
        <v>30.836099999999998</v>
      </c>
      <c r="I844" s="8">
        <f>29.5454 * CHOOSE(CONTROL!$C$12, $D$11, 100%, $F$11)</f>
        <v>29.545400000000001</v>
      </c>
      <c r="J844" s="4">
        <f>29.4295 * CHOOSE(CONTROL!$C$12, $D$11, 100%, $F$11)</f>
        <v>29.429500000000001</v>
      </c>
      <c r="K844" s="4"/>
      <c r="L844" s="9">
        <v>27.3993</v>
      </c>
      <c r="M844" s="9">
        <v>12.063700000000001</v>
      </c>
      <c r="N844" s="9">
        <v>4.9444999999999997</v>
      </c>
      <c r="O844" s="9">
        <v>0.37459999999999999</v>
      </c>
      <c r="P844" s="9">
        <v>1.2939000000000001</v>
      </c>
      <c r="Q844" s="9">
        <v>19.688099999999999</v>
      </c>
      <c r="R844" s="9"/>
      <c r="S844" s="11"/>
    </row>
    <row r="845" spans="1:19" ht="15.75">
      <c r="A845" s="13">
        <v>67603</v>
      </c>
      <c r="B845" s="8">
        <f>31.8921 * CHOOSE(CONTROL!$C$12, $D$11, 100%, $F$11)</f>
        <v>31.892099999999999</v>
      </c>
      <c r="C845" s="8">
        <f>31.9025 * CHOOSE(CONTROL!$C$12, $D$11, 100%, $F$11)</f>
        <v>31.9025</v>
      </c>
      <c r="D845" s="8">
        <f>31.9002 * CHOOSE( CONTROL!$C$12, $D$11, 100%, $F$11)</f>
        <v>31.900200000000002</v>
      </c>
      <c r="E845" s="12">
        <f>31.8999 * CHOOSE( CONTROL!$C$12, $D$11, 100%, $F$11)</f>
        <v>31.899899999999999</v>
      </c>
      <c r="F845" s="4">
        <f>32.915 * CHOOSE(CONTROL!$C$12, $D$11, 100%, $F$11)</f>
        <v>32.914999999999999</v>
      </c>
      <c r="G845" s="8">
        <f>31.115 * CHOOSE( CONTROL!$C$12, $D$11, 100%, $F$11)</f>
        <v>31.114999999999998</v>
      </c>
      <c r="H845" s="4">
        <f>32.0083 * CHOOSE(CONTROL!$C$12, $D$11, 100%, $F$11)</f>
        <v>32.008299999999998</v>
      </c>
      <c r="I845" s="8">
        <f>30.6781 * CHOOSE(CONTROL!$C$12, $D$11, 100%, $F$11)</f>
        <v>30.678100000000001</v>
      </c>
      <c r="J845" s="4">
        <f>30.5542 * CHOOSE(CONTROL!$C$12, $D$11, 100%, $F$11)</f>
        <v>30.554200000000002</v>
      </c>
      <c r="K845" s="4"/>
      <c r="L845" s="9">
        <v>27.3993</v>
      </c>
      <c r="M845" s="9">
        <v>12.063700000000001</v>
      </c>
      <c r="N845" s="9">
        <v>4.9444999999999997</v>
      </c>
      <c r="O845" s="9">
        <v>0.37459999999999999</v>
      </c>
      <c r="P845" s="9">
        <v>1.2939000000000001</v>
      </c>
      <c r="Q845" s="9">
        <v>19.688099999999999</v>
      </c>
      <c r="R845" s="9"/>
      <c r="S845" s="11"/>
    </row>
    <row r="846" spans="1:19" ht="15.75">
      <c r="A846" s="13">
        <v>67631</v>
      </c>
      <c r="B846" s="8">
        <f>29.8306 * CHOOSE(CONTROL!$C$12, $D$11, 100%, $F$11)</f>
        <v>29.8306</v>
      </c>
      <c r="C846" s="8">
        <f>29.8411 * CHOOSE(CONTROL!$C$12, $D$11, 100%, $F$11)</f>
        <v>29.841100000000001</v>
      </c>
      <c r="D846" s="8">
        <f>29.841 * CHOOSE( CONTROL!$C$12, $D$11, 100%, $F$11)</f>
        <v>29.841000000000001</v>
      </c>
      <c r="E846" s="12">
        <f>29.8399 * CHOOSE( CONTROL!$C$12, $D$11, 100%, $F$11)</f>
        <v>29.8399</v>
      </c>
      <c r="F846" s="4">
        <f>30.8457 * CHOOSE(CONTROL!$C$12, $D$11, 100%, $F$11)</f>
        <v>30.845700000000001</v>
      </c>
      <c r="G846" s="8">
        <f>29.1054 * CHOOSE( CONTROL!$C$12, $D$11, 100%, $F$11)</f>
        <v>29.105399999999999</v>
      </c>
      <c r="H846" s="4">
        <f>29.9913 * CHOOSE(CONTROL!$C$12, $D$11, 100%, $F$11)</f>
        <v>29.991299999999999</v>
      </c>
      <c r="I846" s="8">
        <f>28.6909 * CHOOSE(CONTROL!$C$12, $D$11, 100%, $F$11)</f>
        <v>28.690899999999999</v>
      </c>
      <c r="J846" s="4">
        <f>28.579 * CHOOSE(CONTROL!$C$12, $D$11, 100%, $F$11)</f>
        <v>28.579000000000001</v>
      </c>
      <c r="K846" s="4"/>
      <c r="L846" s="9">
        <v>24.747800000000002</v>
      </c>
      <c r="M846" s="9">
        <v>10.8962</v>
      </c>
      <c r="N846" s="9">
        <v>4.4660000000000002</v>
      </c>
      <c r="O846" s="9">
        <v>0.33829999999999999</v>
      </c>
      <c r="P846" s="9">
        <v>1.1687000000000001</v>
      </c>
      <c r="Q846" s="9">
        <v>17.782800000000002</v>
      </c>
      <c r="R846" s="9"/>
      <c r="S846" s="11"/>
    </row>
    <row r="847" spans="1:19" ht="15.75">
      <c r="A847" s="13">
        <v>67662</v>
      </c>
      <c r="B847" s="8">
        <f>29.1957 * CHOOSE(CONTROL!$C$12, $D$11, 100%, $F$11)</f>
        <v>29.195699999999999</v>
      </c>
      <c r="C847" s="8">
        <f>29.2062 * CHOOSE(CONTROL!$C$12, $D$11, 100%, $F$11)</f>
        <v>29.206199999999999</v>
      </c>
      <c r="D847" s="8">
        <f>29.186 * CHOOSE( CONTROL!$C$12, $D$11, 100%, $F$11)</f>
        <v>29.186</v>
      </c>
      <c r="E847" s="12">
        <f>29.1923 * CHOOSE( CONTROL!$C$12, $D$11, 100%, $F$11)</f>
        <v>29.192299999999999</v>
      </c>
      <c r="F847" s="4">
        <f>30.1946 * CHOOSE(CONTROL!$C$12, $D$11, 100%, $F$11)</f>
        <v>30.194600000000001</v>
      </c>
      <c r="G847" s="8">
        <f>28.466 * CHOOSE( CONTROL!$C$12, $D$11, 100%, $F$11)</f>
        <v>28.466000000000001</v>
      </c>
      <c r="H847" s="4">
        <f>29.3566 * CHOOSE(CONTROL!$C$12, $D$11, 100%, $F$11)</f>
        <v>29.3566</v>
      </c>
      <c r="I847" s="8">
        <f>28.0427 * CHOOSE(CONTROL!$C$12, $D$11, 100%, $F$11)</f>
        <v>28.0427</v>
      </c>
      <c r="J847" s="4">
        <f>27.9706 * CHOOSE(CONTROL!$C$12, $D$11, 100%, $F$11)</f>
        <v>27.970600000000001</v>
      </c>
      <c r="K847" s="4"/>
      <c r="L847" s="9">
        <v>27.3993</v>
      </c>
      <c r="M847" s="9">
        <v>12.063700000000001</v>
      </c>
      <c r="N847" s="9">
        <v>4.9444999999999997</v>
      </c>
      <c r="O847" s="9">
        <v>0.37459999999999999</v>
      </c>
      <c r="P847" s="9">
        <v>1.2939000000000001</v>
      </c>
      <c r="Q847" s="9">
        <v>19.688099999999999</v>
      </c>
      <c r="R847" s="9"/>
      <c r="S847" s="11"/>
    </row>
    <row r="848" spans="1:19" ht="15.75">
      <c r="A848" s="13">
        <v>67692</v>
      </c>
      <c r="B848" s="8">
        <f>29.6394 * CHOOSE(CONTROL!$C$12, $D$11, 100%, $F$11)</f>
        <v>29.639399999999998</v>
      </c>
      <c r="C848" s="8">
        <f>29.6498 * CHOOSE(CONTROL!$C$12, $D$11, 100%, $F$11)</f>
        <v>29.649799999999999</v>
      </c>
      <c r="D848" s="8">
        <f>29.653 * CHOOSE( CONTROL!$C$12, $D$11, 100%, $F$11)</f>
        <v>29.652999999999999</v>
      </c>
      <c r="E848" s="12">
        <f>29.6508 * CHOOSE( CONTROL!$C$12, $D$11, 100%, $F$11)</f>
        <v>29.6508</v>
      </c>
      <c r="F848" s="4">
        <f>30.6466 * CHOOSE(CONTROL!$C$12, $D$11, 100%, $F$11)</f>
        <v>30.646599999999999</v>
      </c>
      <c r="G848" s="8">
        <f>28.8864 * CHOOSE( CONTROL!$C$12, $D$11, 100%, $F$11)</f>
        <v>28.886399999999998</v>
      </c>
      <c r="H848" s="4">
        <f>29.7972 * CHOOSE(CONTROL!$C$12, $D$11, 100%, $F$11)</f>
        <v>29.7972</v>
      </c>
      <c r="I848" s="8">
        <f>28.4581 * CHOOSE(CONTROL!$C$12, $D$11, 100%, $F$11)</f>
        <v>28.458100000000002</v>
      </c>
      <c r="J848" s="4">
        <f>28.3957 * CHOOSE(CONTROL!$C$12, $D$11, 100%, $F$11)</f>
        <v>28.395700000000001</v>
      </c>
      <c r="K848" s="4"/>
      <c r="L848" s="9">
        <v>27.988800000000001</v>
      </c>
      <c r="M848" s="9">
        <v>11.6745</v>
      </c>
      <c r="N848" s="9">
        <v>4.7850000000000001</v>
      </c>
      <c r="O848" s="9">
        <v>0.36249999999999999</v>
      </c>
      <c r="P848" s="9">
        <v>1.1798</v>
      </c>
      <c r="Q848" s="9">
        <v>19.053000000000001</v>
      </c>
      <c r="R848" s="9"/>
      <c r="S848" s="11"/>
    </row>
    <row r="849" spans="1:19" ht="15.75">
      <c r="A849" s="13">
        <v>67723</v>
      </c>
      <c r="B849" s="8">
        <f>CHOOSE( CONTROL!$C$29, 30.4333, 30.429) * CHOOSE(CONTROL!$C$12, $D$11, 100%, $F$11)</f>
        <v>30.433299999999999</v>
      </c>
      <c r="C849" s="8">
        <f>CHOOSE( CONTROL!$C$29, 30.4437, 30.4395) * CHOOSE(CONTROL!$C$12, $D$11, 100%, $F$11)</f>
        <v>30.4437</v>
      </c>
      <c r="D849" s="8">
        <f>CHOOSE( CONTROL!$C$29, 30.4216, 30.4174) * CHOOSE( CONTROL!$C$12, $D$11, 100%, $F$11)</f>
        <v>30.421600000000002</v>
      </c>
      <c r="E849" s="12">
        <f>CHOOSE( CONTROL!$C$29, 30.428, 30.4238) * CHOOSE( CONTROL!$C$12, $D$11, 100%, $F$11)</f>
        <v>30.428000000000001</v>
      </c>
      <c r="F849" s="4">
        <f>CHOOSE( CONTROL!$C$29, 31.4082, 31.4039) * CHOOSE(CONTROL!$C$12, $D$11, 100%, $F$11)</f>
        <v>31.408200000000001</v>
      </c>
      <c r="G849" s="8">
        <f>CHOOSE( CONTROL!$C$29, 29.6414, 29.6373) * CHOOSE( CONTROL!$C$12, $D$11, 100%, $F$11)</f>
        <v>29.641400000000001</v>
      </c>
      <c r="H849" s="4">
        <f>CHOOSE( CONTROL!$C$29, 30.5395, 30.5354) * CHOOSE(CONTROL!$C$12, $D$11, 100%, $F$11)</f>
        <v>30.5395</v>
      </c>
      <c r="I849" s="8">
        <f>CHOOSE( CONTROL!$C$29, 29.1977, 29.1936) * CHOOSE(CONTROL!$C$12, $D$11, 100%, $F$11)</f>
        <v>29.197700000000001</v>
      </c>
      <c r="J849" s="4">
        <f>CHOOSE( CONTROL!$C$29, 29.1564, 29.1523) * CHOOSE(CONTROL!$C$12, $D$11, 100%, $F$11)</f>
        <v>29.156400000000001</v>
      </c>
      <c r="K849" s="4"/>
      <c r="L849" s="9">
        <v>29.520499999999998</v>
      </c>
      <c r="M849" s="9">
        <v>12.063700000000001</v>
      </c>
      <c r="N849" s="9">
        <v>4.9444999999999997</v>
      </c>
      <c r="O849" s="9">
        <v>0.37459999999999999</v>
      </c>
      <c r="P849" s="9">
        <v>1.2192000000000001</v>
      </c>
      <c r="Q849" s="9">
        <v>19.688099999999999</v>
      </c>
      <c r="R849" s="9"/>
      <c r="S849" s="11"/>
    </row>
    <row r="850" spans="1:19" ht="15.75">
      <c r="A850" s="13">
        <v>67753</v>
      </c>
      <c r="B850" s="8">
        <f>CHOOSE( CONTROL!$C$29, 29.9441, 29.9399) * CHOOSE(CONTROL!$C$12, $D$11, 100%, $F$11)</f>
        <v>29.944099999999999</v>
      </c>
      <c r="C850" s="8">
        <f>CHOOSE( CONTROL!$C$29, 29.9546, 29.9503) * CHOOSE(CONTROL!$C$12, $D$11, 100%, $F$11)</f>
        <v>29.954599999999999</v>
      </c>
      <c r="D850" s="8">
        <f>CHOOSE( CONTROL!$C$29, 29.9269, 29.9226) * CHOOSE( CONTROL!$C$12, $D$11, 100%, $F$11)</f>
        <v>29.9269</v>
      </c>
      <c r="E850" s="12">
        <f>CHOOSE( CONTROL!$C$29, 29.9353, 29.9311) * CHOOSE( CONTROL!$C$12, $D$11, 100%, $F$11)</f>
        <v>29.935300000000002</v>
      </c>
      <c r="F850" s="4">
        <f>CHOOSE( CONTROL!$C$29, 30.9086, 30.9043) * CHOOSE(CONTROL!$C$12, $D$11, 100%, $F$11)</f>
        <v>30.9086</v>
      </c>
      <c r="G850" s="8">
        <f>CHOOSE( CONTROL!$C$29, 29.1634, 29.1592) * CHOOSE( CONTROL!$C$12, $D$11, 100%, $F$11)</f>
        <v>29.163399999999999</v>
      </c>
      <c r="H850" s="4">
        <f>CHOOSE( CONTROL!$C$29, 30.0525, 30.0484) * CHOOSE(CONTROL!$C$12, $D$11, 100%, $F$11)</f>
        <v>30.052499999999998</v>
      </c>
      <c r="I850" s="8">
        <f>CHOOSE( CONTROL!$C$29, 28.7309, 28.7268) * CHOOSE(CONTROL!$C$12, $D$11, 100%, $F$11)</f>
        <v>28.730899999999998</v>
      </c>
      <c r="J850" s="4">
        <f>CHOOSE( CONTROL!$C$29, 28.6877, 28.6836) * CHOOSE(CONTROL!$C$12, $D$11, 100%, $F$11)</f>
        <v>28.6877</v>
      </c>
      <c r="K850" s="4"/>
      <c r="L850" s="9">
        <v>28.568200000000001</v>
      </c>
      <c r="M850" s="9">
        <v>11.6745</v>
      </c>
      <c r="N850" s="9">
        <v>4.7850000000000001</v>
      </c>
      <c r="O850" s="9">
        <v>0.36249999999999999</v>
      </c>
      <c r="P850" s="9">
        <v>1.1798</v>
      </c>
      <c r="Q850" s="9">
        <v>19.053000000000001</v>
      </c>
      <c r="R850" s="9"/>
      <c r="S850" s="11"/>
    </row>
    <row r="851" spans="1:19" ht="15.75">
      <c r="A851" s="13">
        <v>67784</v>
      </c>
      <c r="B851" s="8">
        <f>CHOOSE( CONTROL!$C$29, 31.2322, 31.228) * CHOOSE(CONTROL!$C$12, $D$11, 100%, $F$11)</f>
        <v>31.232199999999999</v>
      </c>
      <c r="C851" s="8">
        <f>CHOOSE( CONTROL!$C$29, 31.2427, 31.2384) * CHOOSE(CONTROL!$C$12, $D$11, 100%, $F$11)</f>
        <v>31.242699999999999</v>
      </c>
      <c r="D851" s="8">
        <f>CHOOSE( CONTROL!$C$29, 31.2488, 31.2445) * CHOOSE( CONTROL!$C$12, $D$11, 100%, $F$11)</f>
        <v>31.248799999999999</v>
      </c>
      <c r="E851" s="12">
        <f>CHOOSE( CONTROL!$C$29, 31.245, 31.2407) * CHOOSE( CONTROL!$C$12, $D$11, 100%, $F$11)</f>
        <v>31.245000000000001</v>
      </c>
      <c r="F851" s="4">
        <f>CHOOSE( CONTROL!$C$29, 32.2421, 32.2378) * CHOOSE(CONTROL!$C$12, $D$11, 100%, $F$11)</f>
        <v>32.242100000000001</v>
      </c>
      <c r="G851" s="8">
        <f>CHOOSE( CONTROL!$C$29, 30.445, 30.4409) * CHOOSE( CONTROL!$C$12, $D$11, 100%, $F$11)</f>
        <v>30.445</v>
      </c>
      <c r="H851" s="4">
        <f>CHOOSE( CONTROL!$C$29, 31.3524, 31.3483) * CHOOSE(CONTROL!$C$12, $D$11, 100%, $F$11)</f>
        <v>31.352399999999999</v>
      </c>
      <c r="I851" s="8">
        <f>CHOOSE( CONTROL!$C$29, 30.0211, 30.017) * CHOOSE(CONTROL!$C$12, $D$11, 100%, $F$11)</f>
        <v>30.021100000000001</v>
      </c>
      <c r="J851" s="4">
        <f>CHOOSE( CONTROL!$C$29, 29.922, 29.9179) * CHOOSE(CONTROL!$C$12, $D$11, 100%, $F$11)</f>
        <v>29.922000000000001</v>
      </c>
      <c r="K851" s="4"/>
      <c r="L851" s="9">
        <v>29.520499999999998</v>
      </c>
      <c r="M851" s="9">
        <v>12.063700000000001</v>
      </c>
      <c r="N851" s="9">
        <v>4.9444999999999997</v>
      </c>
      <c r="O851" s="9">
        <v>0.37459999999999999</v>
      </c>
      <c r="P851" s="9">
        <v>1.2192000000000001</v>
      </c>
      <c r="Q851" s="9">
        <v>19.688099999999999</v>
      </c>
      <c r="R851" s="9"/>
      <c r="S851" s="11"/>
    </row>
    <row r="852" spans="1:19" ht="15.75">
      <c r="A852" s="13">
        <v>67815</v>
      </c>
      <c r="B852" s="8">
        <f>CHOOSE( CONTROL!$C$29, 28.822, 28.8178) * CHOOSE(CONTROL!$C$12, $D$11, 100%, $F$11)</f>
        <v>28.821999999999999</v>
      </c>
      <c r="C852" s="8">
        <f>CHOOSE( CONTROL!$C$29, 28.8325, 28.8282) * CHOOSE(CONTROL!$C$12, $D$11, 100%, $F$11)</f>
        <v>28.8325</v>
      </c>
      <c r="D852" s="8">
        <f>CHOOSE( CONTROL!$C$29, 28.8551, 28.8508) * CHOOSE( CONTROL!$C$12, $D$11, 100%, $F$11)</f>
        <v>28.8551</v>
      </c>
      <c r="E852" s="12">
        <f>CHOOSE( CONTROL!$C$29, 28.8453, 28.841) * CHOOSE( CONTROL!$C$12, $D$11, 100%, $F$11)</f>
        <v>28.845300000000002</v>
      </c>
      <c r="F852" s="4">
        <f>CHOOSE( CONTROL!$C$29, 29.8606, 29.8564) * CHOOSE(CONTROL!$C$12, $D$11, 100%, $F$11)</f>
        <v>29.860600000000002</v>
      </c>
      <c r="G852" s="8">
        <f>CHOOSE( CONTROL!$C$29, 28.1012, 28.0971) * CHOOSE( CONTROL!$C$12, $D$11, 100%, $F$11)</f>
        <v>28.101199999999999</v>
      </c>
      <c r="H852" s="4">
        <f>CHOOSE( CONTROL!$C$29, 29.031, 29.0269) * CHOOSE(CONTROL!$C$12, $D$11, 100%, $F$11)</f>
        <v>29.030999999999999</v>
      </c>
      <c r="I852" s="8">
        <f>CHOOSE( CONTROL!$C$29, 27.702, 27.6979) * CHOOSE(CONTROL!$C$12, $D$11, 100%, $F$11)</f>
        <v>27.702000000000002</v>
      </c>
      <c r="J852" s="4">
        <f>CHOOSE( CONTROL!$C$29, 27.6125, 27.6085) * CHOOSE(CONTROL!$C$12, $D$11, 100%, $F$11)</f>
        <v>27.612500000000001</v>
      </c>
      <c r="K852" s="4"/>
      <c r="L852" s="9">
        <v>29.520499999999998</v>
      </c>
      <c r="M852" s="9">
        <v>12.063700000000001</v>
      </c>
      <c r="N852" s="9">
        <v>4.9444999999999997</v>
      </c>
      <c r="O852" s="9">
        <v>0.37459999999999999</v>
      </c>
      <c r="P852" s="9">
        <v>1.2192000000000001</v>
      </c>
      <c r="Q852" s="9">
        <v>19.688099999999999</v>
      </c>
      <c r="R852" s="9"/>
      <c r="S852" s="11"/>
    </row>
    <row r="853" spans="1:19" ht="15.75">
      <c r="A853" s="13">
        <v>67845</v>
      </c>
      <c r="B853" s="8">
        <f>CHOOSE( CONTROL!$C$29, 28.2185, 28.2143) * CHOOSE(CONTROL!$C$12, $D$11, 100%, $F$11)</f>
        <v>28.218499999999999</v>
      </c>
      <c r="C853" s="8">
        <f>CHOOSE( CONTROL!$C$29, 28.2289, 28.2247) * CHOOSE(CONTROL!$C$12, $D$11, 100%, $F$11)</f>
        <v>28.228899999999999</v>
      </c>
      <c r="D853" s="8">
        <f>CHOOSE( CONTROL!$C$29, 28.2515, 28.2473) * CHOOSE( CONTROL!$C$12, $D$11, 100%, $F$11)</f>
        <v>28.2515</v>
      </c>
      <c r="E853" s="12">
        <f>CHOOSE( CONTROL!$C$29, 28.2417, 28.2375) * CHOOSE( CONTROL!$C$12, $D$11, 100%, $F$11)</f>
        <v>28.241700000000002</v>
      </c>
      <c r="F853" s="4">
        <f>CHOOSE( CONTROL!$C$29, 29.2571, 29.2528) * CHOOSE(CONTROL!$C$12, $D$11, 100%, $F$11)</f>
        <v>29.257100000000001</v>
      </c>
      <c r="G853" s="8">
        <f>CHOOSE( CONTROL!$C$29, 27.5126, 27.5085) * CHOOSE( CONTROL!$C$12, $D$11, 100%, $F$11)</f>
        <v>27.512599999999999</v>
      </c>
      <c r="H853" s="4">
        <f>CHOOSE( CONTROL!$C$29, 28.4427, 28.4386) * CHOOSE(CONTROL!$C$12, $D$11, 100%, $F$11)</f>
        <v>28.442699999999999</v>
      </c>
      <c r="I853" s="8">
        <f>CHOOSE( CONTROL!$C$29, 27.1216, 27.1176) * CHOOSE(CONTROL!$C$12, $D$11, 100%, $F$11)</f>
        <v>27.121600000000001</v>
      </c>
      <c r="J853" s="4">
        <f>CHOOSE( CONTROL!$C$29, 27.0342, 27.0301) * CHOOSE(CONTROL!$C$12, $D$11, 100%, $F$11)</f>
        <v>27.034199999999998</v>
      </c>
      <c r="K853" s="4"/>
      <c r="L853" s="9">
        <v>28.568200000000001</v>
      </c>
      <c r="M853" s="9">
        <v>11.6745</v>
      </c>
      <c r="N853" s="9">
        <v>4.7850000000000001</v>
      </c>
      <c r="O853" s="9">
        <v>0.36249999999999999</v>
      </c>
      <c r="P853" s="9">
        <v>1.1798</v>
      </c>
      <c r="Q853" s="9">
        <v>19.053000000000001</v>
      </c>
      <c r="R853" s="9"/>
      <c r="S853" s="11"/>
    </row>
    <row r="854" spans="1:19" ht="15.75">
      <c r="A854" s="13">
        <v>67876</v>
      </c>
      <c r="B854" s="8">
        <f>29.4674 * CHOOSE(CONTROL!$C$12, $D$11, 100%, $F$11)</f>
        <v>29.467400000000001</v>
      </c>
      <c r="C854" s="8">
        <f>29.4778 * CHOOSE(CONTROL!$C$12, $D$11, 100%, $F$11)</f>
        <v>29.477799999999998</v>
      </c>
      <c r="D854" s="8">
        <f>29.4823 * CHOOSE( CONTROL!$C$12, $D$11, 100%, $F$11)</f>
        <v>29.482299999999999</v>
      </c>
      <c r="E854" s="12">
        <f>29.4797 * CHOOSE( CONTROL!$C$12, $D$11, 100%, $F$11)</f>
        <v>29.479700000000001</v>
      </c>
      <c r="F854" s="4">
        <f>30.4747 * CHOOSE(CONTROL!$C$12, $D$11, 100%, $F$11)</f>
        <v>30.474699999999999</v>
      </c>
      <c r="G854" s="8">
        <f>28.7203 * CHOOSE( CONTROL!$C$12, $D$11, 100%, $F$11)</f>
        <v>28.720300000000002</v>
      </c>
      <c r="H854" s="4">
        <f>29.6296 * CHOOSE(CONTROL!$C$12, $D$11, 100%, $F$11)</f>
        <v>29.6296</v>
      </c>
      <c r="I854" s="8">
        <f>28.3156 * CHOOSE(CONTROL!$C$12, $D$11, 100%, $F$11)</f>
        <v>28.3156</v>
      </c>
      <c r="J854" s="4">
        <f>28.2309 * CHOOSE(CONTROL!$C$12, $D$11, 100%, $F$11)</f>
        <v>28.230899999999998</v>
      </c>
      <c r="K854" s="4"/>
      <c r="L854" s="9">
        <v>28.921800000000001</v>
      </c>
      <c r="M854" s="9">
        <v>12.063700000000001</v>
      </c>
      <c r="N854" s="9">
        <v>4.9444999999999997</v>
      </c>
      <c r="O854" s="9">
        <v>0.37459999999999999</v>
      </c>
      <c r="P854" s="9">
        <v>1.2192000000000001</v>
      </c>
      <c r="Q854" s="9">
        <v>19.688099999999999</v>
      </c>
      <c r="R854" s="9"/>
      <c r="S854" s="11"/>
    </row>
    <row r="855" spans="1:19" ht="15.75">
      <c r="A855" s="13">
        <v>67906</v>
      </c>
      <c r="B855" s="8">
        <f>31.7805 * CHOOSE(CONTROL!$C$12, $D$11, 100%, $F$11)</f>
        <v>31.7805</v>
      </c>
      <c r="C855" s="8">
        <f>31.7909 * CHOOSE(CONTROL!$C$12, $D$11, 100%, $F$11)</f>
        <v>31.790900000000001</v>
      </c>
      <c r="D855" s="8">
        <f>31.7733 * CHOOSE( CONTROL!$C$12, $D$11, 100%, $F$11)</f>
        <v>31.773299999999999</v>
      </c>
      <c r="E855" s="12">
        <f>31.7786 * CHOOSE( CONTROL!$C$12, $D$11, 100%, $F$11)</f>
        <v>31.778600000000001</v>
      </c>
      <c r="F855" s="4">
        <f>32.7747 * CHOOSE(CONTROL!$C$12, $D$11, 100%, $F$11)</f>
        <v>32.774700000000003</v>
      </c>
      <c r="G855" s="8">
        <f>30.9875 * CHOOSE( CONTROL!$C$12, $D$11, 100%, $F$11)</f>
        <v>30.987500000000001</v>
      </c>
      <c r="H855" s="4">
        <f>31.8716 * CHOOSE(CONTROL!$C$12, $D$11, 100%, $F$11)</f>
        <v>31.871600000000001</v>
      </c>
      <c r="I855" s="8">
        <f>30.5565 * CHOOSE(CONTROL!$C$12, $D$11, 100%, $F$11)</f>
        <v>30.5565</v>
      </c>
      <c r="J855" s="4">
        <f>30.4473 * CHOOSE(CONTROL!$C$12, $D$11, 100%, $F$11)</f>
        <v>30.447299999999998</v>
      </c>
      <c r="K855" s="4"/>
      <c r="L855" s="9">
        <v>26.515499999999999</v>
      </c>
      <c r="M855" s="9">
        <v>11.6745</v>
      </c>
      <c r="N855" s="9">
        <v>4.7850000000000001</v>
      </c>
      <c r="O855" s="9">
        <v>0.36249999999999999</v>
      </c>
      <c r="P855" s="9">
        <v>1.2522</v>
      </c>
      <c r="Q855" s="9">
        <v>19.053000000000001</v>
      </c>
      <c r="R855" s="9"/>
      <c r="S855" s="11"/>
    </row>
    <row r="856" spans="1:19" ht="15.75">
      <c r="A856" s="13">
        <v>67937</v>
      </c>
      <c r="B856" s="8">
        <f>31.7227 * CHOOSE(CONTROL!$C$12, $D$11, 100%, $F$11)</f>
        <v>31.7227</v>
      </c>
      <c r="C856" s="8">
        <f>31.7331 * CHOOSE(CONTROL!$C$12, $D$11, 100%, $F$11)</f>
        <v>31.7331</v>
      </c>
      <c r="D856" s="8">
        <f>31.7175 * CHOOSE( CONTROL!$C$12, $D$11, 100%, $F$11)</f>
        <v>31.717500000000001</v>
      </c>
      <c r="E856" s="12">
        <f>31.7221 * CHOOSE( CONTROL!$C$12, $D$11, 100%, $F$11)</f>
        <v>31.722100000000001</v>
      </c>
      <c r="F856" s="4">
        <f>32.7169 * CHOOSE(CONTROL!$C$12, $D$11, 100%, $F$11)</f>
        <v>32.716900000000003</v>
      </c>
      <c r="G856" s="8">
        <f>30.9327 * CHOOSE( CONTROL!$C$12, $D$11, 100%, $F$11)</f>
        <v>30.932700000000001</v>
      </c>
      <c r="H856" s="4">
        <f>31.8152 * CHOOSE(CONTROL!$C$12, $D$11, 100%, $F$11)</f>
        <v>31.815200000000001</v>
      </c>
      <c r="I856" s="8">
        <f>30.5084 * CHOOSE(CONTROL!$C$12, $D$11, 100%, $F$11)</f>
        <v>30.508400000000002</v>
      </c>
      <c r="J856" s="4">
        <f>30.3919 * CHOOSE(CONTROL!$C$12, $D$11, 100%, $F$11)</f>
        <v>30.3919</v>
      </c>
      <c r="K856" s="4"/>
      <c r="L856" s="9">
        <v>27.3993</v>
      </c>
      <c r="M856" s="9">
        <v>12.063700000000001</v>
      </c>
      <c r="N856" s="9">
        <v>4.9444999999999997</v>
      </c>
      <c r="O856" s="9">
        <v>0.37459999999999999</v>
      </c>
      <c r="P856" s="9">
        <v>1.2939000000000001</v>
      </c>
      <c r="Q856" s="9">
        <v>19.688099999999999</v>
      </c>
      <c r="R856" s="9"/>
      <c r="S856" s="11"/>
    </row>
    <row r="857" spans="1:19" ht="15.75">
      <c r="A857" s="13">
        <v>67968</v>
      </c>
      <c r="B857" s="8">
        <f>32.9349 * CHOOSE(CONTROL!$C$12, $D$11, 100%, $F$11)</f>
        <v>32.934899999999999</v>
      </c>
      <c r="C857" s="8">
        <f>32.9454 * CHOOSE(CONTROL!$C$12, $D$11, 100%, $F$11)</f>
        <v>32.945399999999999</v>
      </c>
      <c r="D857" s="8">
        <f>32.943 * CHOOSE( CONTROL!$C$12, $D$11, 100%, $F$11)</f>
        <v>32.942999999999998</v>
      </c>
      <c r="E857" s="12">
        <f>32.9428 * CHOOSE( CONTROL!$C$12, $D$11, 100%, $F$11)</f>
        <v>32.942799999999998</v>
      </c>
      <c r="F857" s="4">
        <f>33.9578 * CHOOSE(CONTROL!$C$12, $D$11, 100%, $F$11)</f>
        <v>33.957799999999999</v>
      </c>
      <c r="G857" s="8">
        <f>32.1315 * CHOOSE( CONTROL!$C$12, $D$11, 100%, $F$11)</f>
        <v>32.131500000000003</v>
      </c>
      <c r="H857" s="4">
        <f>33.0249 * CHOOSE(CONTROL!$C$12, $D$11, 100%, $F$11)</f>
        <v>33.024900000000002</v>
      </c>
      <c r="I857" s="8">
        <f>31.6779 * CHOOSE(CONTROL!$C$12, $D$11, 100%, $F$11)</f>
        <v>31.677900000000001</v>
      </c>
      <c r="J857" s="4">
        <f>31.5535 * CHOOSE(CONTROL!$C$12, $D$11, 100%, $F$11)</f>
        <v>31.5535</v>
      </c>
      <c r="K857" s="4"/>
      <c r="L857" s="9">
        <v>27.3993</v>
      </c>
      <c r="M857" s="9">
        <v>12.063700000000001</v>
      </c>
      <c r="N857" s="9">
        <v>4.9444999999999997</v>
      </c>
      <c r="O857" s="9">
        <v>0.37459999999999999</v>
      </c>
      <c r="P857" s="9">
        <v>1.2939000000000001</v>
      </c>
      <c r="Q857" s="9">
        <v>19.688099999999999</v>
      </c>
      <c r="R857" s="9"/>
      <c r="S857" s="11"/>
    </row>
    <row r="858" spans="1:19" ht="15.75">
      <c r="A858" s="13">
        <v>67996</v>
      </c>
      <c r="B858" s="8">
        <f>30.8061 * CHOOSE(CONTROL!$C$12, $D$11, 100%, $F$11)</f>
        <v>30.806100000000001</v>
      </c>
      <c r="C858" s="8">
        <f>30.8165 * CHOOSE(CONTROL!$C$12, $D$11, 100%, $F$11)</f>
        <v>30.816500000000001</v>
      </c>
      <c r="D858" s="8">
        <f>30.8165 * CHOOSE( CONTROL!$C$12, $D$11, 100%, $F$11)</f>
        <v>30.816500000000001</v>
      </c>
      <c r="E858" s="12">
        <f>30.8154 * CHOOSE( CONTROL!$C$12, $D$11, 100%, $F$11)</f>
        <v>30.8154</v>
      </c>
      <c r="F858" s="4">
        <f>31.8211 * CHOOSE(CONTROL!$C$12, $D$11, 100%, $F$11)</f>
        <v>31.821100000000001</v>
      </c>
      <c r="G858" s="8">
        <f>30.0562 * CHOOSE( CONTROL!$C$12, $D$11, 100%, $F$11)</f>
        <v>30.0562</v>
      </c>
      <c r="H858" s="4">
        <f>30.9421 * CHOOSE(CONTROL!$C$12, $D$11, 100%, $F$11)</f>
        <v>30.9421</v>
      </c>
      <c r="I858" s="8">
        <f>29.626 * CHOOSE(CONTROL!$C$12, $D$11, 100%, $F$11)</f>
        <v>29.626000000000001</v>
      </c>
      <c r="J858" s="4">
        <f>29.5136 * CHOOSE(CONTROL!$C$12, $D$11, 100%, $F$11)</f>
        <v>29.5136</v>
      </c>
      <c r="K858" s="4"/>
      <c r="L858" s="9">
        <v>24.747800000000002</v>
      </c>
      <c r="M858" s="9">
        <v>10.8962</v>
      </c>
      <c r="N858" s="9">
        <v>4.4660000000000002</v>
      </c>
      <c r="O858" s="9">
        <v>0.33829999999999999</v>
      </c>
      <c r="P858" s="9">
        <v>1.1687000000000001</v>
      </c>
      <c r="Q858" s="9">
        <v>17.782800000000002</v>
      </c>
      <c r="R858" s="9"/>
      <c r="S858" s="11"/>
    </row>
    <row r="859" spans="1:19" ht="15.75">
      <c r="A859" s="13">
        <v>68027</v>
      </c>
      <c r="B859" s="8">
        <f>30.1504 * CHOOSE(CONTROL!$C$12, $D$11, 100%, $F$11)</f>
        <v>30.150400000000001</v>
      </c>
      <c r="C859" s="8">
        <f>30.1608 * CHOOSE(CONTROL!$C$12, $D$11, 100%, $F$11)</f>
        <v>30.160799999999998</v>
      </c>
      <c r="D859" s="8">
        <f>30.1406 * CHOOSE( CONTROL!$C$12, $D$11, 100%, $F$11)</f>
        <v>30.140599999999999</v>
      </c>
      <c r="E859" s="12">
        <f>30.1469 * CHOOSE( CONTROL!$C$12, $D$11, 100%, $F$11)</f>
        <v>30.146899999999999</v>
      </c>
      <c r="F859" s="4">
        <f>31.1493 * CHOOSE(CONTROL!$C$12, $D$11, 100%, $F$11)</f>
        <v>31.1493</v>
      </c>
      <c r="G859" s="8">
        <f>29.3966 * CHOOSE( CONTROL!$C$12, $D$11, 100%, $F$11)</f>
        <v>29.396599999999999</v>
      </c>
      <c r="H859" s="4">
        <f>30.2872 * CHOOSE(CONTROL!$C$12, $D$11, 100%, $F$11)</f>
        <v>30.287199999999999</v>
      </c>
      <c r="I859" s="8">
        <f>28.9579 * CHOOSE(CONTROL!$C$12, $D$11, 100%, $F$11)</f>
        <v>28.957899999999999</v>
      </c>
      <c r="J859" s="4">
        <f>28.8853 * CHOOSE(CONTROL!$C$12, $D$11, 100%, $F$11)</f>
        <v>28.885300000000001</v>
      </c>
      <c r="K859" s="4"/>
      <c r="L859" s="9">
        <v>27.3993</v>
      </c>
      <c r="M859" s="9">
        <v>12.063700000000001</v>
      </c>
      <c r="N859" s="9">
        <v>4.9444999999999997</v>
      </c>
      <c r="O859" s="9">
        <v>0.37459999999999999</v>
      </c>
      <c r="P859" s="9">
        <v>1.2939000000000001</v>
      </c>
      <c r="Q859" s="9">
        <v>19.688099999999999</v>
      </c>
      <c r="R859" s="9"/>
      <c r="S859" s="11"/>
    </row>
    <row r="860" spans="1:19" ht="15.75">
      <c r="A860" s="13">
        <v>68057</v>
      </c>
      <c r="B860" s="8">
        <f>30.6085 * CHOOSE(CONTROL!$C$12, $D$11, 100%, $F$11)</f>
        <v>30.608499999999999</v>
      </c>
      <c r="C860" s="8">
        <f>30.619 * CHOOSE(CONTROL!$C$12, $D$11, 100%, $F$11)</f>
        <v>30.619</v>
      </c>
      <c r="D860" s="8">
        <f>30.6222 * CHOOSE( CONTROL!$C$12, $D$11, 100%, $F$11)</f>
        <v>30.622199999999999</v>
      </c>
      <c r="E860" s="12">
        <f>30.6199 * CHOOSE( CONTROL!$C$12, $D$11, 100%, $F$11)</f>
        <v>30.619900000000001</v>
      </c>
      <c r="F860" s="4">
        <f>31.6158 * CHOOSE(CONTROL!$C$12, $D$11, 100%, $F$11)</f>
        <v>31.6158</v>
      </c>
      <c r="G860" s="8">
        <f>29.8311 * CHOOSE( CONTROL!$C$12, $D$11, 100%, $F$11)</f>
        <v>29.831099999999999</v>
      </c>
      <c r="H860" s="4">
        <f>30.7419 * CHOOSE(CONTROL!$C$12, $D$11, 100%, $F$11)</f>
        <v>30.741900000000001</v>
      </c>
      <c r="I860" s="8">
        <f>29.3873 * CHOOSE(CONTROL!$C$12, $D$11, 100%, $F$11)</f>
        <v>29.3873</v>
      </c>
      <c r="J860" s="4">
        <f>29.3244 * CHOOSE(CONTROL!$C$12, $D$11, 100%, $F$11)</f>
        <v>29.324400000000001</v>
      </c>
      <c r="K860" s="4"/>
      <c r="L860" s="9">
        <v>27.988800000000001</v>
      </c>
      <c r="M860" s="9">
        <v>11.6745</v>
      </c>
      <c r="N860" s="9">
        <v>4.7850000000000001</v>
      </c>
      <c r="O860" s="9">
        <v>0.36249999999999999</v>
      </c>
      <c r="P860" s="9">
        <v>1.1798</v>
      </c>
      <c r="Q860" s="9">
        <v>19.053000000000001</v>
      </c>
      <c r="R860" s="9"/>
      <c r="S860" s="11"/>
    </row>
    <row r="861" spans="1:19" ht="15.75">
      <c r="A861" s="13">
        <v>68088</v>
      </c>
      <c r="B861" s="8">
        <f>CHOOSE( CONTROL!$C$29, 31.4282, 31.424) * CHOOSE(CONTROL!$C$12, $D$11, 100%, $F$11)</f>
        <v>31.4282</v>
      </c>
      <c r="C861" s="8">
        <f>CHOOSE( CONTROL!$C$29, 31.4387, 31.4344) * CHOOSE(CONTROL!$C$12, $D$11, 100%, $F$11)</f>
        <v>31.438700000000001</v>
      </c>
      <c r="D861" s="8">
        <f>CHOOSE( CONTROL!$C$29, 31.4166, 31.4124) * CHOOSE( CONTROL!$C$12, $D$11, 100%, $F$11)</f>
        <v>31.416599999999999</v>
      </c>
      <c r="E861" s="12">
        <f>CHOOSE( CONTROL!$C$29, 31.423, 31.4188) * CHOOSE( CONTROL!$C$12, $D$11, 100%, $F$11)</f>
        <v>31.422999999999998</v>
      </c>
      <c r="F861" s="4">
        <f>CHOOSE( CONTROL!$C$29, 32.4031, 32.3989) * CHOOSE(CONTROL!$C$12, $D$11, 100%, $F$11)</f>
        <v>32.403100000000002</v>
      </c>
      <c r="G861" s="8">
        <f>CHOOSE( CONTROL!$C$29, 30.6113, 30.6072) * CHOOSE( CONTROL!$C$12, $D$11, 100%, $F$11)</f>
        <v>30.6113</v>
      </c>
      <c r="H861" s="4">
        <f>CHOOSE( CONTROL!$C$29, 31.5094, 31.5053) * CHOOSE(CONTROL!$C$12, $D$11, 100%, $F$11)</f>
        <v>31.509399999999999</v>
      </c>
      <c r="I861" s="8">
        <f>CHOOSE( CONTROL!$C$29, 30.1515, 30.1475) * CHOOSE(CONTROL!$C$12, $D$11, 100%, $F$11)</f>
        <v>30.151499999999999</v>
      </c>
      <c r="J861" s="4">
        <f>CHOOSE( CONTROL!$C$29, 30.1098, 30.1057) * CHOOSE(CONTROL!$C$12, $D$11, 100%, $F$11)</f>
        <v>30.1098</v>
      </c>
      <c r="K861" s="4"/>
      <c r="L861" s="9">
        <v>29.520499999999998</v>
      </c>
      <c r="M861" s="9">
        <v>12.063700000000001</v>
      </c>
      <c r="N861" s="9">
        <v>4.9444999999999997</v>
      </c>
      <c r="O861" s="9">
        <v>0.37459999999999999</v>
      </c>
      <c r="P861" s="9">
        <v>1.2192000000000001</v>
      </c>
      <c r="Q861" s="9">
        <v>19.688099999999999</v>
      </c>
      <c r="R861" s="9"/>
      <c r="S861" s="11"/>
    </row>
    <row r="862" spans="1:19" ht="15.75">
      <c r="A862" s="13">
        <v>68118</v>
      </c>
      <c r="B862" s="8">
        <f>CHOOSE( CONTROL!$C$29, 30.9231, 30.9189) * CHOOSE(CONTROL!$C$12, $D$11, 100%, $F$11)</f>
        <v>30.923100000000002</v>
      </c>
      <c r="C862" s="8">
        <f>CHOOSE( CONTROL!$C$29, 30.9335, 30.9293) * CHOOSE(CONTROL!$C$12, $D$11, 100%, $F$11)</f>
        <v>30.933499999999999</v>
      </c>
      <c r="D862" s="8">
        <f>CHOOSE( CONTROL!$C$29, 30.9059, 30.9016) * CHOOSE( CONTROL!$C$12, $D$11, 100%, $F$11)</f>
        <v>30.905899999999999</v>
      </c>
      <c r="E862" s="12">
        <f>CHOOSE( CONTROL!$C$29, 30.9143, 30.9101) * CHOOSE( CONTROL!$C$12, $D$11, 100%, $F$11)</f>
        <v>30.914300000000001</v>
      </c>
      <c r="F862" s="4">
        <f>CHOOSE( CONTROL!$C$29, 31.8876, 31.8833) * CHOOSE(CONTROL!$C$12, $D$11, 100%, $F$11)</f>
        <v>31.887599999999999</v>
      </c>
      <c r="G862" s="8">
        <f>CHOOSE( CONTROL!$C$29, 30.1176, 30.1135) * CHOOSE( CONTROL!$C$12, $D$11, 100%, $F$11)</f>
        <v>30.117599999999999</v>
      </c>
      <c r="H862" s="4">
        <f>CHOOSE( CONTROL!$C$29, 31.0068, 31.0027) * CHOOSE(CONTROL!$C$12, $D$11, 100%, $F$11)</f>
        <v>31.006799999999998</v>
      </c>
      <c r="I862" s="8">
        <f>CHOOSE( CONTROL!$C$29, 29.6694, 29.6654) * CHOOSE(CONTROL!$C$12, $D$11, 100%, $F$11)</f>
        <v>29.6694</v>
      </c>
      <c r="J862" s="4">
        <f>CHOOSE( CONTROL!$C$29, 29.6258, 29.6217) * CHOOSE(CONTROL!$C$12, $D$11, 100%, $F$11)</f>
        <v>29.625800000000002</v>
      </c>
      <c r="K862" s="4"/>
      <c r="L862" s="9">
        <v>28.568200000000001</v>
      </c>
      <c r="M862" s="9">
        <v>11.6745</v>
      </c>
      <c r="N862" s="9">
        <v>4.7850000000000001</v>
      </c>
      <c r="O862" s="9">
        <v>0.36249999999999999</v>
      </c>
      <c r="P862" s="9">
        <v>1.1798</v>
      </c>
      <c r="Q862" s="9">
        <v>19.053000000000001</v>
      </c>
      <c r="R862" s="9"/>
      <c r="S862" s="11"/>
    </row>
    <row r="863" spans="1:19" ht="15.75">
      <c r="A863" s="13">
        <v>68149</v>
      </c>
      <c r="B863" s="8">
        <f>CHOOSE( CONTROL!$C$29, 32.2533, 32.2491) * CHOOSE(CONTROL!$C$12, $D$11, 100%, $F$11)</f>
        <v>32.253300000000003</v>
      </c>
      <c r="C863" s="8">
        <f>CHOOSE( CONTROL!$C$29, 32.2638, 32.2595) * CHOOSE(CONTROL!$C$12, $D$11, 100%, $F$11)</f>
        <v>32.263800000000003</v>
      </c>
      <c r="D863" s="8">
        <f>CHOOSE( CONTROL!$C$29, 32.2699, 32.2656) * CHOOSE( CONTROL!$C$12, $D$11, 100%, $F$11)</f>
        <v>32.2699</v>
      </c>
      <c r="E863" s="12">
        <f>CHOOSE( CONTROL!$C$29, 32.2661, 32.2618) * CHOOSE( CONTROL!$C$12, $D$11, 100%, $F$11)</f>
        <v>32.266100000000002</v>
      </c>
      <c r="F863" s="4">
        <f>CHOOSE( CONTROL!$C$29, 33.2632, 33.259) * CHOOSE(CONTROL!$C$12, $D$11, 100%, $F$11)</f>
        <v>33.263199999999998</v>
      </c>
      <c r="G863" s="8">
        <f>CHOOSE( CONTROL!$C$29, 31.4404, 31.4362) * CHOOSE( CONTROL!$C$12, $D$11, 100%, $F$11)</f>
        <v>31.4404</v>
      </c>
      <c r="H863" s="4">
        <f>CHOOSE( CONTROL!$C$29, 32.3478, 32.3436) * CHOOSE(CONTROL!$C$12, $D$11, 100%, $F$11)</f>
        <v>32.347799999999999</v>
      </c>
      <c r="I863" s="8">
        <f>CHOOSE( CONTROL!$C$29, 31, 30.9959) * CHOOSE(CONTROL!$C$12, $D$11, 100%, $F$11)</f>
        <v>31</v>
      </c>
      <c r="J863" s="4">
        <f>CHOOSE( CONTROL!$C$29, 30.9004, 30.8963) * CHOOSE(CONTROL!$C$12, $D$11, 100%, $F$11)</f>
        <v>30.900400000000001</v>
      </c>
      <c r="K863" s="4"/>
      <c r="L863" s="9">
        <v>29.520499999999998</v>
      </c>
      <c r="M863" s="9">
        <v>12.063700000000001</v>
      </c>
      <c r="N863" s="9">
        <v>4.9444999999999997</v>
      </c>
      <c r="O863" s="9">
        <v>0.37459999999999999</v>
      </c>
      <c r="P863" s="9">
        <v>1.2192000000000001</v>
      </c>
      <c r="Q863" s="9">
        <v>19.688099999999999</v>
      </c>
      <c r="R863" s="9"/>
      <c r="S863" s="11"/>
    </row>
    <row r="864" spans="1:19" ht="15.75">
      <c r="A864" s="13">
        <v>68180</v>
      </c>
      <c r="B864" s="8">
        <f>CHOOSE( CONTROL!$C$29, 29.7643, 29.7601) * CHOOSE(CONTROL!$C$12, $D$11, 100%, $F$11)</f>
        <v>29.764299999999999</v>
      </c>
      <c r="C864" s="8">
        <f>CHOOSE( CONTROL!$C$29, 29.7748, 29.7705) * CHOOSE(CONTROL!$C$12, $D$11, 100%, $F$11)</f>
        <v>29.774799999999999</v>
      </c>
      <c r="D864" s="8">
        <f>CHOOSE( CONTROL!$C$29, 29.7974, 29.7931) * CHOOSE( CONTROL!$C$12, $D$11, 100%, $F$11)</f>
        <v>29.7974</v>
      </c>
      <c r="E864" s="12">
        <f>CHOOSE( CONTROL!$C$29, 29.7876, 29.7833) * CHOOSE( CONTROL!$C$12, $D$11, 100%, $F$11)</f>
        <v>29.787600000000001</v>
      </c>
      <c r="F864" s="4">
        <f>CHOOSE( CONTROL!$C$29, 30.8029, 30.7986) * CHOOSE(CONTROL!$C$12, $D$11, 100%, $F$11)</f>
        <v>30.802900000000001</v>
      </c>
      <c r="G864" s="8">
        <f>CHOOSE( CONTROL!$C$29, 29.0198, 29.0156) * CHOOSE( CONTROL!$C$12, $D$11, 100%, $F$11)</f>
        <v>29.0198</v>
      </c>
      <c r="H864" s="4">
        <f>CHOOSE( CONTROL!$C$29, 29.9495, 29.9454) * CHOOSE(CONTROL!$C$12, $D$11, 100%, $F$11)</f>
        <v>29.9495</v>
      </c>
      <c r="I864" s="8">
        <f>CHOOSE( CONTROL!$C$29, 28.6053, 28.6012) * CHOOSE(CONTROL!$C$12, $D$11, 100%, $F$11)</f>
        <v>28.6053</v>
      </c>
      <c r="J864" s="4">
        <f>CHOOSE( CONTROL!$C$29, 28.5154, 28.5114) * CHOOSE(CONTROL!$C$12, $D$11, 100%, $F$11)</f>
        <v>28.5154</v>
      </c>
      <c r="K864" s="4"/>
      <c r="L864" s="9">
        <v>29.520499999999998</v>
      </c>
      <c r="M864" s="9">
        <v>12.063700000000001</v>
      </c>
      <c r="N864" s="9">
        <v>4.9444999999999997</v>
      </c>
      <c r="O864" s="9">
        <v>0.37459999999999999</v>
      </c>
      <c r="P864" s="9">
        <v>1.2192000000000001</v>
      </c>
      <c r="Q864" s="9">
        <v>19.688099999999999</v>
      </c>
      <c r="R864" s="9"/>
      <c r="S864" s="11"/>
    </row>
    <row r="865" spans="1:19" ht="15.75">
      <c r="A865" s="13">
        <v>68210</v>
      </c>
      <c r="B865" s="8">
        <f>CHOOSE( CONTROL!$C$29, 29.141, 29.1368) * CHOOSE(CONTROL!$C$12, $D$11, 100%, $F$11)</f>
        <v>29.140999999999998</v>
      </c>
      <c r="C865" s="8">
        <f>CHOOSE( CONTROL!$C$29, 29.1515, 29.1472) * CHOOSE(CONTROL!$C$12, $D$11, 100%, $F$11)</f>
        <v>29.151499999999999</v>
      </c>
      <c r="D865" s="8">
        <f>CHOOSE( CONTROL!$C$29, 29.174, 29.1698) * CHOOSE( CONTROL!$C$12, $D$11, 100%, $F$11)</f>
        <v>29.173999999999999</v>
      </c>
      <c r="E865" s="12">
        <f>CHOOSE( CONTROL!$C$29, 29.1642, 29.16) * CHOOSE( CONTROL!$C$12, $D$11, 100%, $F$11)</f>
        <v>29.164200000000001</v>
      </c>
      <c r="F865" s="4">
        <f>CHOOSE( CONTROL!$C$29, 30.1796, 30.1754) * CHOOSE(CONTROL!$C$12, $D$11, 100%, $F$11)</f>
        <v>30.179600000000001</v>
      </c>
      <c r="G865" s="8">
        <f>CHOOSE( CONTROL!$C$29, 28.4119, 28.4078) * CHOOSE( CONTROL!$C$12, $D$11, 100%, $F$11)</f>
        <v>28.411899999999999</v>
      </c>
      <c r="H865" s="4">
        <f>CHOOSE( CONTROL!$C$29, 29.342, 29.3378) * CHOOSE(CONTROL!$C$12, $D$11, 100%, $F$11)</f>
        <v>29.341999999999999</v>
      </c>
      <c r="I865" s="8">
        <f>CHOOSE( CONTROL!$C$29, 28.0061, 28.002) * CHOOSE(CONTROL!$C$12, $D$11, 100%, $F$11)</f>
        <v>28.0061</v>
      </c>
      <c r="J865" s="4">
        <f>CHOOSE( CONTROL!$C$29, 27.9182, 27.9141) * CHOOSE(CONTROL!$C$12, $D$11, 100%, $F$11)</f>
        <v>27.918199999999999</v>
      </c>
      <c r="K865" s="4"/>
      <c r="L865" s="9">
        <v>28.568200000000001</v>
      </c>
      <c r="M865" s="9">
        <v>11.6745</v>
      </c>
      <c r="N865" s="9">
        <v>4.7850000000000001</v>
      </c>
      <c r="O865" s="9">
        <v>0.36249999999999999</v>
      </c>
      <c r="P865" s="9">
        <v>1.1798</v>
      </c>
      <c r="Q865" s="9">
        <v>19.053000000000001</v>
      </c>
      <c r="R865" s="9"/>
      <c r="S865" s="11"/>
    </row>
    <row r="866" spans="1:19" ht="15.75">
      <c r="A866" s="13">
        <v>68241</v>
      </c>
      <c r="B866" s="8">
        <f>30.4309 * CHOOSE(CONTROL!$C$12, $D$11, 100%, $F$11)</f>
        <v>30.430900000000001</v>
      </c>
      <c r="C866" s="8">
        <f>30.4414 * CHOOSE(CONTROL!$C$12, $D$11, 100%, $F$11)</f>
        <v>30.441400000000002</v>
      </c>
      <c r="D866" s="8">
        <f>30.4458 * CHOOSE( CONTROL!$C$12, $D$11, 100%, $F$11)</f>
        <v>30.445799999999998</v>
      </c>
      <c r="E866" s="12">
        <f>30.4432 * CHOOSE( CONTROL!$C$12, $D$11, 100%, $F$11)</f>
        <v>30.443200000000001</v>
      </c>
      <c r="F866" s="4">
        <f>31.4382 * CHOOSE(CONTROL!$C$12, $D$11, 100%, $F$11)</f>
        <v>31.438199999999998</v>
      </c>
      <c r="G866" s="8">
        <f>29.6595 * CHOOSE( CONTROL!$C$12, $D$11, 100%, $F$11)</f>
        <v>29.659500000000001</v>
      </c>
      <c r="H866" s="4">
        <f>30.5688 * CHOOSE(CONTROL!$C$12, $D$11, 100%, $F$11)</f>
        <v>30.5688</v>
      </c>
      <c r="I866" s="8">
        <f>29.2393 * CHOOSE(CONTROL!$C$12, $D$11, 100%, $F$11)</f>
        <v>29.2393</v>
      </c>
      <c r="J866" s="4">
        <f>29.1542 * CHOOSE(CONTROL!$C$12, $D$11, 100%, $F$11)</f>
        <v>29.154199999999999</v>
      </c>
      <c r="K866" s="4"/>
      <c r="L866" s="9">
        <v>28.921800000000001</v>
      </c>
      <c r="M866" s="9">
        <v>12.063700000000001</v>
      </c>
      <c r="N866" s="9">
        <v>4.9444999999999997</v>
      </c>
      <c r="O866" s="9">
        <v>0.37459999999999999</v>
      </c>
      <c r="P866" s="9">
        <v>1.2192000000000001</v>
      </c>
      <c r="Q866" s="9">
        <v>19.688099999999999</v>
      </c>
      <c r="R866" s="9"/>
      <c r="S866" s="11"/>
    </row>
    <row r="867" spans="1:19" ht="15.75">
      <c r="A867" s="13">
        <v>68271</v>
      </c>
      <c r="B867" s="8">
        <f>32.8197 * CHOOSE(CONTROL!$C$12, $D$11, 100%, $F$11)</f>
        <v>32.819699999999997</v>
      </c>
      <c r="C867" s="8">
        <f>32.8301 * CHOOSE(CONTROL!$C$12, $D$11, 100%, $F$11)</f>
        <v>32.830100000000002</v>
      </c>
      <c r="D867" s="8">
        <f>32.8125 * CHOOSE( CONTROL!$C$12, $D$11, 100%, $F$11)</f>
        <v>32.8125</v>
      </c>
      <c r="E867" s="12">
        <f>32.8178 * CHOOSE( CONTROL!$C$12, $D$11, 100%, $F$11)</f>
        <v>32.817799999999998</v>
      </c>
      <c r="F867" s="4">
        <f>33.8139 * CHOOSE(CONTROL!$C$12, $D$11, 100%, $F$11)</f>
        <v>33.813899999999997</v>
      </c>
      <c r="G867" s="8">
        <f>32.0004 * CHOOSE( CONTROL!$C$12, $D$11, 100%, $F$11)</f>
        <v>32.000399999999999</v>
      </c>
      <c r="H867" s="4">
        <f>32.8845 * CHOOSE(CONTROL!$C$12, $D$11, 100%, $F$11)</f>
        <v>32.884500000000003</v>
      </c>
      <c r="I867" s="8">
        <f>31.5528 * CHOOSE(CONTROL!$C$12, $D$11, 100%, $F$11)</f>
        <v>31.552800000000001</v>
      </c>
      <c r="J867" s="4">
        <f>31.443 * CHOOSE(CONTROL!$C$12, $D$11, 100%, $F$11)</f>
        <v>31.443000000000001</v>
      </c>
      <c r="K867" s="4"/>
      <c r="L867" s="9">
        <v>26.515499999999999</v>
      </c>
      <c r="M867" s="9">
        <v>11.6745</v>
      </c>
      <c r="N867" s="9">
        <v>4.7850000000000001</v>
      </c>
      <c r="O867" s="9">
        <v>0.36249999999999999</v>
      </c>
      <c r="P867" s="9">
        <v>1.2522</v>
      </c>
      <c r="Q867" s="9">
        <v>19.053000000000001</v>
      </c>
      <c r="R867" s="9"/>
      <c r="S867" s="11"/>
    </row>
    <row r="868" spans="1:19" ht="15.75">
      <c r="A868" s="13">
        <v>68302</v>
      </c>
      <c r="B868" s="8">
        <f>32.76 * CHOOSE(CONTROL!$C$12, $D$11, 100%, $F$11)</f>
        <v>32.76</v>
      </c>
      <c r="C868" s="8">
        <f>32.7704 * CHOOSE(CONTROL!$C$12, $D$11, 100%, $F$11)</f>
        <v>32.770400000000002</v>
      </c>
      <c r="D868" s="8">
        <f>32.7548 * CHOOSE( CONTROL!$C$12, $D$11, 100%, $F$11)</f>
        <v>32.754800000000003</v>
      </c>
      <c r="E868" s="12">
        <f>32.7594 * CHOOSE( CONTROL!$C$12, $D$11, 100%, $F$11)</f>
        <v>32.759399999999999</v>
      </c>
      <c r="F868" s="4">
        <f>33.7542 * CHOOSE(CONTROL!$C$12, $D$11, 100%, $F$11)</f>
        <v>33.754199999999997</v>
      </c>
      <c r="G868" s="8">
        <f>31.9438 * CHOOSE( CONTROL!$C$12, $D$11, 100%, $F$11)</f>
        <v>31.9438</v>
      </c>
      <c r="H868" s="4">
        <f>32.8264 * CHOOSE(CONTROL!$C$12, $D$11, 100%, $F$11)</f>
        <v>32.8264</v>
      </c>
      <c r="I868" s="8">
        <f>31.5028 * CHOOSE(CONTROL!$C$12, $D$11, 100%, $F$11)</f>
        <v>31.502800000000001</v>
      </c>
      <c r="J868" s="4">
        <f>31.3859 * CHOOSE(CONTROL!$C$12, $D$11, 100%, $F$11)</f>
        <v>31.385899999999999</v>
      </c>
      <c r="K868" s="4"/>
      <c r="L868" s="9">
        <v>27.3993</v>
      </c>
      <c r="M868" s="9">
        <v>12.063700000000001</v>
      </c>
      <c r="N868" s="9">
        <v>4.9444999999999997</v>
      </c>
      <c r="O868" s="9">
        <v>0.37459999999999999</v>
      </c>
      <c r="P868" s="9">
        <v>1.2939000000000001</v>
      </c>
      <c r="Q868" s="9">
        <v>19.688099999999999</v>
      </c>
      <c r="R868" s="9"/>
      <c r="S868" s="11"/>
    </row>
    <row r="869" spans="1:19" ht="15.75">
      <c r="A869" s="13">
        <v>68333</v>
      </c>
      <c r="B869" s="8">
        <f>34.0119 * CHOOSE(CONTROL!$C$12, $D$11, 100%, $F$11)</f>
        <v>34.011899999999997</v>
      </c>
      <c r="C869" s="8">
        <f>34.0223 * CHOOSE(CONTROL!$C$12, $D$11, 100%, $F$11)</f>
        <v>34.022300000000001</v>
      </c>
      <c r="D869" s="8">
        <f>34.0199 * CHOOSE( CONTROL!$C$12, $D$11, 100%, $F$11)</f>
        <v>34.0199</v>
      </c>
      <c r="E869" s="12">
        <f>34.0197 * CHOOSE( CONTROL!$C$12, $D$11, 100%, $F$11)</f>
        <v>34.0197</v>
      </c>
      <c r="F869" s="4">
        <f>35.0348 * CHOOSE(CONTROL!$C$12, $D$11, 100%, $F$11)</f>
        <v>35.034799999999997</v>
      </c>
      <c r="G869" s="8">
        <f>33.1813 * CHOOSE( CONTROL!$C$12, $D$11, 100%, $F$11)</f>
        <v>33.1813</v>
      </c>
      <c r="H869" s="4">
        <f>34.0746 * CHOOSE(CONTROL!$C$12, $D$11, 100%, $F$11)</f>
        <v>34.074599999999997</v>
      </c>
      <c r="I869" s="8">
        <f>32.7103 * CHOOSE(CONTROL!$C$12, $D$11, 100%, $F$11)</f>
        <v>32.710299999999997</v>
      </c>
      <c r="J869" s="4">
        <f>32.5854 * CHOOSE(CONTROL!$C$12, $D$11, 100%, $F$11)</f>
        <v>32.5854</v>
      </c>
      <c r="K869" s="4"/>
      <c r="L869" s="9">
        <v>27.3993</v>
      </c>
      <c r="M869" s="9">
        <v>12.063700000000001</v>
      </c>
      <c r="N869" s="9">
        <v>4.9444999999999997</v>
      </c>
      <c r="O869" s="9">
        <v>0.37459999999999999</v>
      </c>
      <c r="P869" s="9">
        <v>1.2939000000000001</v>
      </c>
      <c r="Q869" s="9">
        <v>19.688099999999999</v>
      </c>
      <c r="R869" s="9"/>
      <c r="S869" s="11"/>
    </row>
    <row r="870" spans="1:19" ht="15.75">
      <c r="A870" s="13">
        <v>68361</v>
      </c>
      <c r="B870" s="8">
        <f>31.8134 * CHOOSE(CONTROL!$C$12, $D$11, 100%, $F$11)</f>
        <v>31.813400000000001</v>
      </c>
      <c r="C870" s="8">
        <f>31.8238 * CHOOSE(CONTROL!$C$12, $D$11, 100%, $F$11)</f>
        <v>31.823799999999999</v>
      </c>
      <c r="D870" s="8">
        <f>31.8238 * CHOOSE( CONTROL!$C$12, $D$11, 100%, $F$11)</f>
        <v>31.823799999999999</v>
      </c>
      <c r="E870" s="12">
        <f>31.8227 * CHOOSE( CONTROL!$C$12, $D$11, 100%, $F$11)</f>
        <v>31.822700000000001</v>
      </c>
      <c r="F870" s="4">
        <f>32.8284 * CHOOSE(CONTROL!$C$12, $D$11, 100%, $F$11)</f>
        <v>32.828400000000002</v>
      </c>
      <c r="G870" s="8">
        <f>31.0381 * CHOOSE( CONTROL!$C$12, $D$11, 100%, $F$11)</f>
        <v>31.0381</v>
      </c>
      <c r="H870" s="4">
        <f>31.924 * CHOOSE(CONTROL!$C$12, $D$11, 100%, $F$11)</f>
        <v>31.923999999999999</v>
      </c>
      <c r="I870" s="8">
        <f>30.5917 * CHOOSE(CONTROL!$C$12, $D$11, 100%, $F$11)</f>
        <v>30.591699999999999</v>
      </c>
      <c r="J870" s="4">
        <f>30.4788 * CHOOSE(CONTROL!$C$12, $D$11, 100%, $F$11)</f>
        <v>30.4788</v>
      </c>
      <c r="K870" s="4"/>
      <c r="L870" s="9">
        <v>24.747800000000002</v>
      </c>
      <c r="M870" s="9">
        <v>10.8962</v>
      </c>
      <c r="N870" s="9">
        <v>4.4660000000000002</v>
      </c>
      <c r="O870" s="9">
        <v>0.33829999999999999</v>
      </c>
      <c r="P870" s="9">
        <v>1.1687000000000001</v>
      </c>
      <c r="Q870" s="9">
        <v>17.782800000000002</v>
      </c>
      <c r="R870" s="9"/>
      <c r="S870" s="11"/>
    </row>
    <row r="871" spans="1:19" ht="15.75">
      <c r="A871" s="13">
        <v>68392</v>
      </c>
      <c r="B871" s="8">
        <f>31.1362 * CHOOSE(CONTROL!$C$12, $D$11, 100%, $F$11)</f>
        <v>31.136199999999999</v>
      </c>
      <c r="C871" s="8">
        <f>31.1467 * CHOOSE(CONTROL!$C$12, $D$11, 100%, $F$11)</f>
        <v>31.146699999999999</v>
      </c>
      <c r="D871" s="8">
        <f>31.1265 * CHOOSE( CONTROL!$C$12, $D$11, 100%, $F$11)</f>
        <v>31.1265</v>
      </c>
      <c r="E871" s="12">
        <f>31.1328 * CHOOSE( CONTROL!$C$12, $D$11, 100%, $F$11)</f>
        <v>31.1328</v>
      </c>
      <c r="F871" s="4">
        <f>32.1351 * CHOOSE(CONTROL!$C$12, $D$11, 100%, $F$11)</f>
        <v>32.135100000000001</v>
      </c>
      <c r="G871" s="8">
        <f>30.3576 * CHOOSE( CONTROL!$C$12, $D$11, 100%, $F$11)</f>
        <v>30.357600000000001</v>
      </c>
      <c r="H871" s="4">
        <f>31.2482 * CHOOSE(CONTROL!$C$12, $D$11, 100%, $F$11)</f>
        <v>31.248200000000001</v>
      </c>
      <c r="I871" s="8">
        <f>29.903 * CHOOSE(CONTROL!$C$12, $D$11, 100%, $F$11)</f>
        <v>29.902999999999999</v>
      </c>
      <c r="J871" s="4">
        <f>29.83 * CHOOSE(CONTROL!$C$12, $D$11, 100%, $F$11)</f>
        <v>29.83</v>
      </c>
      <c r="K871" s="4"/>
      <c r="L871" s="9">
        <v>27.3993</v>
      </c>
      <c r="M871" s="9">
        <v>12.063700000000001</v>
      </c>
      <c r="N871" s="9">
        <v>4.9444999999999997</v>
      </c>
      <c r="O871" s="9">
        <v>0.37459999999999999</v>
      </c>
      <c r="P871" s="9">
        <v>1.2939000000000001</v>
      </c>
      <c r="Q871" s="9">
        <v>19.688099999999999</v>
      </c>
      <c r="R871" s="9"/>
      <c r="S871" s="11"/>
    </row>
    <row r="872" spans="1:19" ht="15.75">
      <c r="A872" s="13">
        <v>68422</v>
      </c>
      <c r="B872" s="8">
        <f>31.6094 * CHOOSE(CONTROL!$C$12, $D$11, 100%, $F$11)</f>
        <v>31.609400000000001</v>
      </c>
      <c r="C872" s="8">
        <f>31.6198 * CHOOSE(CONTROL!$C$12, $D$11, 100%, $F$11)</f>
        <v>31.619800000000001</v>
      </c>
      <c r="D872" s="8">
        <f>31.623 * CHOOSE( CONTROL!$C$12, $D$11, 100%, $F$11)</f>
        <v>31.623000000000001</v>
      </c>
      <c r="E872" s="12">
        <f>31.6208 * CHOOSE( CONTROL!$C$12, $D$11, 100%, $F$11)</f>
        <v>31.620799999999999</v>
      </c>
      <c r="F872" s="4">
        <f>32.6167 * CHOOSE(CONTROL!$C$12, $D$11, 100%, $F$11)</f>
        <v>32.616700000000002</v>
      </c>
      <c r="G872" s="8">
        <f>30.8067 * CHOOSE( CONTROL!$C$12, $D$11, 100%, $F$11)</f>
        <v>30.806699999999999</v>
      </c>
      <c r="H872" s="4">
        <f>31.7175 * CHOOSE(CONTROL!$C$12, $D$11, 100%, $F$11)</f>
        <v>31.717500000000001</v>
      </c>
      <c r="I872" s="8">
        <f>30.3468 * CHOOSE(CONTROL!$C$12, $D$11, 100%, $F$11)</f>
        <v>30.346800000000002</v>
      </c>
      <c r="J872" s="4">
        <f>30.2834 * CHOOSE(CONTROL!$C$12, $D$11, 100%, $F$11)</f>
        <v>30.2834</v>
      </c>
      <c r="K872" s="4"/>
      <c r="L872" s="9">
        <v>27.988800000000001</v>
      </c>
      <c r="M872" s="9">
        <v>11.6745</v>
      </c>
      <c r="N872" s="9">
        <v>4.7850000000000001</v>
      </c>
      <c r="O872" s="9">
        <v>0.36249999999999999</v>
      </c>
      <c r="P872" s="9">
        <v>1.1798</v>
      </c>
      <c r="Q872" s="9">
        <v>19.053000000000001</v>
      </c>
      <c r="R872" s="9"/>
      <c r="S872" s="11"/>
    </row>
    <row r="873" spans="1:19" ht="15.75">
      <c r="A873" s="13">
        <v>68453</v>
      </c>
      <c r="B873" s="8">
        <f>CHOOSE( CONTROL!$C$29, 32.4558, 32.4515) * CHOOSE(CONTROL!$C$12, $D$11, 100%, $F$11)</f>
        <v>32.455800000000004</v>
      </c>
      <c r="C873" s="8">
        <f>CHOOSE( CONTROL!$C$29, 32.4662, 32.462) * CHOOSE(CONTROL!$C$12, $D$11, 100%, $F$11)</f>
        <v>32.466200000000001</v>
      </c>
      <c r="D873" s="8">
        <f>CHOOSE( CONTROL!$C$29, 32.4441, 32.4399) * CHOOSE( CONTROL!$C$12, $D$11, 100%, $F$11)</f>
        <v>32.444099999999999</v>
      </c>
      <c r="E873" s="12">
        <f>CHOOSE( CONTROL!$C$29, 32.4505, 32.4463) * CHOOSE( CONTROL!$C$12, $D$11, 100%, $F$11)</f>
        <v>32.450499999999998</v>
      </c>
      <c r="F873" s="4">
        <f>CHOOSE( CONTROL!$C$29, 33.4307, 33.4264) * CHOOSE(CONTROL!$C$12, $D$11, 100%, $F$11)</f>
        <v>33.430700000000002</v>
      </c>
      <c r="G873" s="8">
        <f>CHOOSE( CONTROL!$C$29, 31.6129, 31.6088) * CHOOSE( CONTROL!$C$12, $D$11, 100%, $F$11)</f>
        <v>31.6129</v>
      </c>
      <c r="H873" s="4">
        <f>CHOOSE( CONTROL!$C$29, 32.511, 32.5069) * CHOOSE(CONTROL!$C$12, $D$11, 100%, $F$11)</f>
        <v>32.511000000000003</v>
      </c>
      <c r="I873" s="8">
        <f>CHOOSE( CONTROL!$C$29, 31.1366, 31.1325) * CHOOSE(CONTROL!$C$12, $D$11, 100%, $F$11)</f>
        <v>31.136600000000001</v>
      </c>
      <c r="J873" s="4">
        <f>CHOOSE( CONTROL!$C$29, 31.0944, 31.0903) * CHOOSE(CONTROL!$C$12, $D$11, 100%, $F$11)</f>
        <v>31.0944</v>
      </c>
      <c r="K873" s="4"/>
      <c r="L873" s="9">
        <v>29.520499999999998</v>
      </c>
      <c r="M873" s="9">
        <v>12.063700000000001</v>
      </c>
      <c r="N873" s="9">
        <v>4.9444999999999997</v>
      </c>
      <c r="O873" s="9">
        <v>0.37459999999999999</v>
      </c>
      <c r="P873" s="9">
        <v>1.2192000000000001</v>
      </c>
      <c r="Q873" s="9">
        <v>19.688099999999999</v>
      </c>
      <c r="R873" s="9"/>
      <c r="S873" s="11"/>
    </row>
    <row r="874" spans="1:19" ht="15.75">
      <c r="A874" s="13">
        <v>68483</v>
      </c>
      <c r="B874" s="8">
        <f>CHOOSE( CONTROL!$C$29, 31.9341, 31.9299) * CHOOSE(CONTROL!$C$12, $D$11, 100%, $F$11)</f>
        <v>31.934100000000001</v>
      </c>
      <c r="C874" s="8">
        <f>CHOOSE( CONTROL!$C$29, 31.9445, 31.9403) * CHOOSE(CONTROL!$C$12, $D$11, 100%, $F$11)</f>
        <v>31.944500000000001</v>
      </c>
      <c r="D874" s="8">
        <f>CHOOSE( CONTROL!$C$29, 31.9169, 31.9126) * CHOOSE( CONTROL!$C$12, $D$11, 100%, $F$11)</f>
        <v>31.916899999999998</v>
      </c>
      <c r="E874" s="12">
        <f>CHOOSE( CONTROL!$C$29, 31.9253, 31.9211) * CHOOSE( CONTROL!$C$12, $D$11, 100%, $F$11)</f>
        <v>31.9253</v>
      </c>
      <c r="F874" s="4">
        <f>CHOOSE( CONTROL!$C$29, 32.8986, 32.8943) * CHOOSE(CONTROL!$C$12, $D$11, 100%, $F$11)</f>
        <v>32.898600000000002</v>
      </c>
      <c r="G874" s="8">
        <f>CHOOSE( CONTROL!$C$29, 31.1031, 31.099) * CHOOSE( CONTROL!$C$12, $D$11, 100%, $F$11)</f>
        <v>31.103100000000001</v>
      </c>
      <c r="H874" s="4">
        <f>CHOOSE( CONTROL!$C$29, 31.9923, 31.9882) * CHOOSE(CONTROL!$C$12, $D$11, 100%, $F$11)</f>
        <v>31.9923</v>
      </c>
      <c r="I874" s="8">
        <f>CHOOSE( CONTROL!$C$29, 30.6387, 30.6346) * CHOOSE(CONTROL!$C$12, $D$11, 100%, $F$11)</f>
        <v>30.6387</v>
      </c>
      <c r="J874" s="4">
        <f>CHOOSE( CONTROL!$C$29, 30.5945, 30.5904) * CHOOSE(CONTROL!$C$12, $D$11, 100%, $F$11)</f>
        <v>30.5945</v>
      </c>
      <c r="K874" s="4"/>
      <c r="L874" s="9">
        <v>28.568200000000001</v>
      </c>
      <c r="M874" s="9">
        <v>11.6745</v>
      </c>
      <c r="N874" s="9">
        <v>4.7850000000000001</v>
      </c>
      <c r="O874" s="9">
        <v>0.36249999999999999</v>
      </c>
      <c r="P874" s="9">
        <v>1.1798</v>
      </c>
      <c r="Q874" s="9">
        <v>19.053000000000001</v>
      </c>
      <c r="R874" s="9"/>
      <c r="S874" s="11"/>
    </row>
    <row r="875" spans="1:19" ht="15.75">
      <c r="A875" s="13">
        <v>68514</v>
      </c>
      <c r="B875" s="8">
        <f>CHOOSE( CONTROL!$C$29, 33.3078, 33.3036) * CHOOSE(CONTROL!$C$12, $D$11, 100%, $F$11)</f>
        <v>33.3078</v>
      </c>
      <c r="C875" s="8">
        <f>CHOOSE( CONTROL!$C$29, 33.3183, 33.314) * CHOOSE(CONTROL!$C$12, $D$11, 100%, $F$11)</f>
        <v>33.318300000000001</v>
      </c>
      <c r="D875" s="8">
        <f>CHOOSE( CONTROL!$C$29, 33.3244, 33.3202) * CHOOSE( CONTROL!$C$12, $D$11, 100%, $F$11)</f>
        <v>33.324399999999997</v>
      </c>
      <c r="E875" s="12">
        <f>CHOOSE( CONTROL!$C$29, 33.3206, 33.3164) * CHOOSE( CONTROL!$C$12, $D$11, 100%, $F$11)</f>
        <v>33.320599999999999</v>
      </c>
      <c r="F875" s="4">
        <f>CHOOSE( CONTROL!$C$29, 34.3177, 34.3135) * CHOOSE(CONTROL!$C$12, $D$11, 100%, $F$11)</f>
        <v>34.317700000000002</v>
      </c>
      <c r="G875" s="8">
        <f>CHOOSE( CONTROL!$C$29, 32.4683, 32.4641) * CHOOSE( CONTROL!$C$12, $D$11, 100%, $F$11)</f>
        <v>32.468299999999999</v>
      </c>
      <c r="H875" s="4">
        <f>CHOOSE( CONTROL!$C$29, 33.3757, 33.3715) * CHOOSE(CONTROL!$C$12, $D$11, 100%, $F$11)</f>
        <v>33.375700000000002</v>
      </c>
      <c r="I875" s="8">
        <f>CHOOSE( CONTROL!$C$29, 32.0109, 32.0069) * CHOOSE(CONTROL!$C$12, $D$11, 100%, $F$11)</f>
        <v>32.010899999999999</v>
      </c>
      <c r="J875" s="4">
        <f>CHOOSE( CONTROL!$C$29, 31.9108, 31.9067) * CHOOSE(CONTROL!$C$12, $D$11, 100%, $F$11)</f>
        <v>31.910799999999998</v>
      </c>
      <c r="K875" s="4"/>
      <c r="L875" s="9">
        <v>29.520499999999998</v>
      </c>
      <c r="M875" s="9">
        <v>12.063700000000001</v>
      </c>
      <c r="N875" s="9">
        <v>4.9444999999999997</v>
      </c>
      <c r="O875" s="9">
        <v>0.37459999999999999</v>
      </c>
      <c r="P875" s="9">
        <v>1.2192000000000001</v>
      </c>
      <c r="Q875" s="9">
        <v>19.688099999999999</v>
      </c>
      <c r="R875" s="9"/>
      <c r="S875" s="11"/>
    </row>
    <row r="876" spans="1:19" ht="15.75">
      <c r="A876" s="13">
        <v>68545</v>
      </c>
      <c r="B876" s="8">
        <f>CHOOSE( CONTROL!$C$29, 30.7374, 30.7332) * CHOOSE(CONTROL!$C$12, $D$11, 100%, $F$11)</f>
        <v>30.737400000000001</v>
      </c>
      <c r="C876" s="8">
        <f>CHOOSE( CONTROL!$C$29, 30.7479, 30.7436) * CHOOSE(CONTROL!$C$12, $D$11, 100%, $F$11)</f>
        <v>30.747900000000001</v>
      </c>
      <c r="D876" s="8">
        <f>CHOOSE( CONTROL!$C$29, 30.7705, 30.7662) * CHOOSE( CONTROL!$C$12, $D$11, 100%, $F$11)</f>
        <v>30.770499999999998</v>
      </c>
      <c r="E876" s="12">
        <f>CHOOSE( CONTROL!$C$29, 30.7607, 30.7564) * CHOOSE( CONTROL!$C$12, $D$11, 100%, $F$11)</f>
        <v>30.7607</v>
      </c>
      <c r="F876" s="4">
        <f>CHOOSE( CONTROL!$C$29, 31.776, 31.7717) * CHOOSE(CONTROL!$C$12, $D$11, 100%, $F$11)</f>
        <v>31.776</v>
      </c>
      <c r="G876" s="8">
        <f>CHOOSE( CONTROL!$C$29, 29.9683, 29.9642) * CHOOSE( CONTROL!$C$12, $D$11, 100%, $F$11)</f>
        <v>29.968299999999999</v>
      </c>
      <c r="H876" s="4">
        <f>CHOOSE( CONTROL!$C$29, 30.8981, 30.8939) * CHOOSE(CONTROL!$C$12, $D$11, 100%, $F$11)</f>
        <v>30.898099999999999</v>
      </c>
      <c r="I876" s="8">
        <f>CHOOSE( CONTROL!$C$29, 29.5382, 29.5341) * CHOOSE(CONTROL!$C$12, $D$11, 100%, $F$11)</f>
        <v>29.5382</v>
      </c>
      <c r="J876" s="4">
        <f>CHOOSE( CONTROL!$C$29, 29.4478, 29.4438) * CHOOSE(CONTROL!$C$12, $D$11, 100%, $F$11)</f>
        <v>29.447800000000001</v>
      </c>
      <c r="K876" s="4"/>
      <c r="L876" s="9">
        <v>29.520499999999998</v>
      </c>
      <c r="M876" s="9">
        <v>12.063700000000001</v>
      </c>
      <c r="N876" s="9">
        <v>4.9444999999999997</v>
      </c>
      <c r="O876" s="9">
        <v>0.37459999999999999</v>
      </c>
      <c r="P876" s="9">
        <v>1.2192000000000001</v>
      </c>
      <c r="Q876" s="9">
        <v>19.688099999999999</v>
      </c>
      <c r="R876" s="9"/>
      <c r="S876" s="11"/>
    </row>
    <row r="877" spans="1:19" ht="15.75">
      <c r="A877" s="13">
        <v>68575</v>
      </c>
      <c r="B877" s="8">
        <f>CHOOSE( CONTROL!$C$29, 30.0938, 30.0895) * CHOOSE(CONTROL!$C$12, $D$11, 100%, $F$11)</f>
        <v>30.093800000000002</v>
      </c>
      <c r="C877" s="8">
        <f>CHOOSE( CONTROL!$C$29, 30.1042, 30.1) * CHOOSE(CONTROL!$C$12, $D$11, 100%, $F$11)</f>
        <v>30.104199999999999</v>
      </c>
      <c r="D877" s="8">
        <f>CHOOSE( CONTROL!$C$29, 30.1268, 30.1225) * CHOOSE( CONTROL!$C$12, $D$11, 100%, $F$11)</f>
        <v>30.126799999999999</v>
      </c>
      <c r="E877" s="12">
        <f>CHOOSE( CONTROL!$C$29, 30.117, 30.1127) * CHOOSE( CONTROL!$C$12, $D$11, 100%, $F$11)</f>
        <v>30.117000000000001</v>
      </c>
      <c r="F877" s="4">
        <f>CHOOSE( CONTROL!$C$29, 31.1323, 31.1281) * CHOOSE(CONTROL!$C$12, $D$11, 100%, $F$11)</f>
        <v>31.132300000000001</v>
      </c>
      <c r="G877" s="8">
        <f>CHOOSE( CONTROL!$C$29, 29.3406, 29.3364) * CHOOSE( CONTROL!$C$12, $D$11, 100%, $F$11)</f>
        <v>29.340599999999998</v>
      </c>
      <c r="H877" s="4">
        <f>CHOOSE( CONTROL!$C$29, 30.2706, 30.2665) * CHOOSE(CONTROL!$C$12, $D$11, 100%, $F$11)</f>
        <v>30.270600000000002</v>
      </c>
      <c r="I877" s="8">
        <f>CHOOSE( CONTROL!$C$29, 28.9194, 28.9153) * CHOOSE(CONTROL!$C$12, $D$11, 100%, $F$11)</f>
        <v>28.9194</v>
      </c>
      <c r="J877" s="4">
        <f>CHOOSE( CONTROL!$C$29, 28.8311, 28.827) * CHOOSE(CONTROL!$C$12, $D$11, 100%, $F$11)</f>
        <v>28.831099999999999</v>
      </c>
      <c r="K877" s="4"/>
      <c r="L877" s="9">
        <v>28.568200000000001</v>
      </c>
      <c r="M877" s="9">
        <v>11.6745</v>
      </c>
      <c r="N877" s="9">
        <v>4.7850000000000001</v>
      </c>
      <c r="O877" s="9">
        <v>0.36249999999999999</v>
      </c>
      <c r="P877" s="9">
        <v>1.1798</v>
      </c>
      <c r="Q877" s="9">
        <v>19.053000000000001</v>
      </c>
      <c r="R877" s="9"/>
      <c r="S877" s="11"/>
    </row>
    <row r="878" spans="1:19" ht="15.75">
      <c r="A878" s="13">
        <v>68606</v>
      </c>
      <c r="B878" s="8">
        <f>31.426 * CHOOSE(CONTROL!$C$12, $D$11, 100%, $F$11)</f>
        <v>31.425999999999998</v>
      </c>
      <c r="C878" s="8">
        <f>31.4364 * CHOOSE(CONTROL!$C$12, $D$11, 100%, $F$11)</f>
        <v>31.436399999999999</v>
      </c>
      <c r="D878" s="8">
        <f>31.4408 * CHOOSE( CONTROL!$C$12, $D$11, 100%, $F$11)</f>
        <v>31.440799999999999</v>
      </c>
      <c r="E878" s="12">
        <f>31.4382 * CHOOSE( CONTROL!$C$12, $D$11, 100%, $F$11)</f>
        <v>31.438199999999998</v>
      </c>
      <c r="F878" s="4">
        <f>32.4332 * CHOOSE(CONTROL!$C$12, $D$11, 100%, $F$11)</f>
        <v>32.433199999999999</v>
      </c>
      <c r="G878" s="8">
        <f>30.6295 * CHOOSE( CONTROL!$C$12, $D$11, 100%, $F$11)</f>
        <v>30.6295</v>
      </c>
      <c r="H878" s="4">
        <f>31.5387 * CHOOSE(CONTROL!$C$12, $D$11, 100%, $F$11)</f>
        <v>31.538699999999999</v>
      </c>
      <c r="I878" s="8">
        <f>30.1932 * CHOOSE(CONTROL!$C$12, $D$11, 100%, $F$11)</f>
        <v>30.193200000000001</v>
      </c>
      <c r="J878" s="4">
        <f>30.1076 * CHOOSE(CONTROL!$C$12, $D$11, 100%, $F$11)</f>
        <v>30.107600000000001</v>
      </c>
      <c r="K878" s="4"/>
      <c r="L878" s="9">
        <v>28.921800000000001</v>
      </c>
      <c r="M878" s="9">
        <v>12.063700000000001</v>
      </c>
      <c r="N878" s="9">
        <v>4.9444999999999997</v>
      </c>
      <c r="O878" s="9">
        <v>0.37459999999999999</v>
      </c>
      <c r="P878" s="9">
        <v>1.2192000000000001</v>
      </c>
      <c r="Q878" s="9">
        <v>19.688099999999999</v>
      </c>
      <c r="R878" s="9"/>
      <c r="S878" s="11"/>
    </row>
    <row r="879" spans="1:19" ht="15.75">
      <c r="A879" s="13">
        <v>68636</v>
      </c>
      <c r="B879" s="8">
        <f>33.8928 * CHOOSE(CONTROL!$C$12, $D$11, 100%, $F$11)</f>
        <v>33.892800000000001</v>
      </c>
      <c r="C879" s="8">
        <f>33.9033 * CHOOSE(CONTROL!$C$12, $D$11, 100%, $F$11)</f>
        <v>33.903300000000002</v>
      </c>
      <c r="D879" s="8">
        <f>33.8856 * CHOOSE( CONTROL!$C$12, $D$11, 100%, $F$11)</f>
        <v>33.885599999999997</v>
      </c>
      <c r="E879" s="12">
        <f>33.891 * CHOOSE( CONTROL!$C$12, $D$11, 100%, $F$11)</f>
        <v>33.890999999999998</v>
      </c>
      <c r="F879" s="4">
        <f>34.887 * CHOOSE(CONTROL!$C$12, $D$11, 100%, $F$11)</f>
        <v>34.887</v>
      </c>
      <c r="G879" s="8">
        <f>33.0465 * CHOOSE( CONTROL!$C$12, $D$11, 100%, $F$11)</f>
        <v>33.046500000000002</v>
      </c>
      <c r="H879" s="4">
        <f>33.9306 * CHOOSE(CONTROL!$C$12, $D$11, 100%, $F$11)</f>
        <v>33.930599999999998</v>
      </c>
      <c r="I879" s="8">
        <f>32.5816 * CHOOSE(CONTROL!$C$12, $D$11, 100%, $F$11)</f>
        <v>32.581600000000002</v>
      </c>
      <c r="J879" s="4">
        <f>32.4713 * CHOOSE(CONTROL!$C$12, $D$11, 100%, $F$11)</f>
        <v>32.471299999999999</v>
      </c>
      <c r="K879" s="4"/>
      <c r="L879" s="9">
        <v>26.515499999999999</v>
      </c>
      <c r="M879" s="9">
        <v>11.6745</v>
      </c>
      <c r="N879" s="9">
        <v>4.7850000000000001</v>
      </c>
      <c r="O879" s="9">
        <v>0.36249999999999999</v>
      </c>
      <c r="P879" s="9">
        <v>1.2522</v>
      </c>
      <c r="Q879" s="9">
        <v>19.053000000000001</v>
      </c>
      <c r="R879" s="9"/>
      <c r="S879" s="11"/>
    </row>
    <row r="880" spans="1:19" ht="15.75">
      <c r="A880" s="13">
        <v>68667</v>
      </c>
      <c r="B880" s="8">
        <f>33.8312 * CHOOSE(CONTROL!$C$12, $D$11, 100%, $F$11)</f>
        <v>33.831200000000003</v>
      </c>
      <c r="C880" s="8">
        <f>33.8416 * CHOOSE(CONTROL!$C$12, $D$11, 100%, $F$11)</f>
        <v>33.8416</v>
      </c>
      <c r="D880" s="8">
        <f>33.826 * CHOOSE( CONTROL!$C$12, $D$11, 100%, $F$11)</f>
        <v>33.826000000000001</v>
      </c>
      <c r="E880" s="12">
        <f>33.8306 * CHOOSE( CONTROL!$C$12, $D$11, 100%, $F$11)</f>
        <v>33.830599999999997</v>
      </c>
      <c r="F880" s="4">
        <f>34.8254 * CHOOSE(CONTROL!$C$12, $D$11, 100%, $F$11)</f>
        <v>34.825400000000002</v>
      </c>
      <c r="G880" s="8">
        <f>32.988 * CHOOSE( CONTROL!$C$12, $D$11, 100%, $F$11)</f>
        <v>32.988</v>
      </c>
      <c r="H880" s="4">
        <f>33.8705 * CHOOSE(CONTROL!$C$12, $D$11, 100%, $F$11)</f>
        <v>33.8705</v>
      </c>
      <c r="I880" s="8">
        <f>32.5297 * CHOOSE(CONTROL!$C$12, $D$11, 100%, $F$11)</f>
        <v>32.529699999999998</v>
      </c>
      <c r="J880" s="4">
        <f>32.4123 * CHOOSE(CONTROL!$C$12, $D$11, 100%, $F$11)</f>
        <v>32.412300000000002</v>
      </c>
      <c r="K880" s="4"/>
      <c r="L880" s="9">
        <v>27.3993</v>
      </c>
      <c r="M880" s="9">
        <v>12.063700000000001</v>
      </c>
      <c r="N880" s="9">
        <v>4.9444999999999997</v>
      </c>
      <c r="O880" s="9">
        <v>0.37459999999999999</v>
      </c>
      <c r="P880" s="9">
        <v>1.2939000000000001</v>
      </c>
      <c r="Q880" s="9">
        <v>19.688099999999999</v>
      </c>
      <c r="R880" s="9"/>
      <c r="S880" s="11"/>
    </row>
    <row r="881" spans="1:19" ht="15.75">
      <c r="A881" s="13">
        <v>68698</v>
      </c>
      <c r="B881" s="8">
        <f>35.124 * CHOOSE(CONTROL!$C$12, $D$11, 100%, $F$11)</f>
        <v>35.124000000000002</v>
      </c>
      <c r="C881" s="8">
        <f>35.1344 * CHOOSE(CONTROL!$C$12, $D$11, 100%, $F$11)</f>
        <v>35.134399999999999</v>
      </c>
      <c r="D881" s="8">
        <f>35.1321 * CHOOSE( CONTROL!$C$12, $D$11, 100%, $F$11)</f>
        <v>35.132100000000001</v>
      </c>
      <c r="E881" s="12">
        <f>35.1318 * CHOOSE( CONTROL!$C$12, $D$11, 100%, $F$11)</f>
        <v>35.131799999999998</v>
      </c>
      <c r="F881" s="4">
        <f>36.1469 * CHOOSE(CONTROL!$C$12, $D$11, 100%, $F$11)</f>
        <v>36.146900000000002</v>
      </c>
      <c r="G881" s="8">
        <f>34.2654 * CHOOSE( CONTROL!$C$12, $D$11, 100%, $F$11)</f>
        <v>34.2654</v>
      </c>
      <c r="H881" s="4">
        <f>35.1587 * CHOOSE(CONTROL!$C$12, $D$11, 100%, $F$11)</f>
        <v>35.158700000000003</v>
      </c>
      <c r="I881" s="8">
        <f>33.7765 * CHOOSE(CONTROL!$C$12, $D$11, 100%, $F$11)</f>
        <v>33.776499999999999</v>
      </c>
      <c r="J881" s="4">
        <f>33.6511 * CHOOSE(CONTROL!$C$12, $D$11, 100%, $F$11)</f>
        <v>33.6511</v>
      </c>
      <c r="K881" s="4"/>
      <c r="L881" s="9">
        <v>27.3993</v>
      </c>
      <c r="M881" s="9">
        <v>12.063700000000001</v>
      </c>
      <c r="N881" s="9">
        <v>4.9444999999999997</v>
      </c>
      <c r="O881" s="9">
        <v>0.37459999999999999</v>
      </c>
      <c r="P881" s="9">
        <v>1.2939000000000001</v>
      </c>
      <c r="Q881" s="9">
        <v>19.688099999999999</v>
      </c>
      <c r="R881" s="9"/>
      <c r="S881" s="11"/>
    </row>
    <row r="882" spans="1:19" ht="15.75">
      <c r="A882" s="13">
        <v>68727</v>
      </c>
      <c r="B882" s="8">
        <f>32.8536 * CHOOSE(CONTROL!$C$12, $D$11, 100%, $F$11)</f>
        <v>32.8536</v>
      </c>
      <c r="C882" s="8">
        <f>32.8641 * CHOOSE(CONTROL!$C$12, $D$11, 100%, $F$11)</f>
        <v>32.864100000000001</v>
      </c>
      <c r="D882" s="8">
        <f>32.864 * CHOOSE( CONTROL!$C$12, $D$11, 100%, $F$11)</f>
        <v>32.863999999999997</v>
      </c>
      <c r="E882" s="12">
        <f>32.8629 * CHOOSE( CONTROL!$C$12, $D$11, 100%, $F$11)</f>
        <v>32.862900000000003</v>
      </c>
      <c r="F882" s="4">
        <f>33.8687 * CHOOSE(CONTROL!$C$12, $D$11, 100%, $F$11)</f>
        <v>33.868699999999997</v>
      </c>
      <c r="G882" s="8">
        <f>32.0521 * CHOOSE( CONTROL!$C$12, $D$11, 100%, $F$11)</f>
        <v>32.052100000000003</v>
      </c>
      <c r="H882" s="4">
        <f>32.938 * CHOOSE(CONTROL!$C$12, $D$11, 100%, $F$11)</f>
        <v>32.938000000000002</v>
      </c>
      <c r="I882" s="8">
        <f>31.589 * CHOOSE(CONTROL!$C$12, $D$11, 100%, $F$11)</f>
        <v>31.588999999999999</v>
      </c>
      <c r="J882" s="4">
        <f>31.4756 * CHOOSE(CONTROL!$C$12, $D$11, 100%, $F$11)</f>
        <v>31.4756</v>
      </c>
      <c r="K882" s="4"/>
      <c r="L882" s="9">
        <v>25.631599999999999</v>
      </c>
      <c r="M882" s="9">
        <v>11.285299999999999</v>
      </c>
      <c r="N882" s="9">
        <v>4.6254999999999997</v>
      </c>
      <c r="O882" s="9">
        <v>0.35039999999999999</v>
      </c>
      <c r="P882" s="9">
        <v>1.2104999999999999</v>
      </c>
      <c r="Q882" s="9">
        <v>18.417899999999999</v>
      </c>
      <c r="R882" s="9"/>
      <c r="S882" s="11"/>
    </row>
    <row r="883" spans="1:19" ht="15.75">
      <c r="A883" s="13">
        <v>68758</v>
      </c>
      <c r="B883" s="8">
        <f>32.1543 * CHOOSE(CONTROL!$C$12, $D$11, 100%, $F$11)</f>
        <v>32.154299999999999</v>
      </c>
      <c r="C883" s="8">
        <f>32.1648 * CHOOSE(CONTROL!$C$12, $D$11, 100%, $F$11)</f>
        <v>32.1648</v>
      </c>
      <c r="D883" s="8">
        <f>32.1446 * CHOOSE( CONTROL!$C$12, $D$11, 100%, $F$11)</f>
        <v>32.144599999999997</v>
      </c>
      <c r="E883" s="12">
        <f>32.1509 * CHOOSE( CONTROL!$C$12, $D$11, 100%, $F$11)</f>
        <v>32.1509</v>
      </c>
      <c r="F883" s="4">
        <f>33.1533 * CHOOSE(CONTROL!$C$12, $D$11, 100%, $F$11)</f>
        <v>33.153300000000002</v>
      </c>
      <c r="G883" s="8">
        <f>31.35 * CHOOSE( CONTROL!$C$12, $D$11, 100%, $F$11)</f>
        <v>31.35</v>
      </c>
      <c r="H883" s="4">
        <f>32.2406 * CHOOSE(CONTROL!$C$12, $D$11, 100%, $F$11)</f>
        <v>32.240600000000001</v>
      </c>
      <c r="I883" s="8">
        <f>30.8791 * CHOOSE(CONTROL!$C$12, $D$11, 100%, $F$11)</f>
        <v>30.879100000000001</v>
      </c>
      <c r="J883" s="4">
        <f>30.8055 * CHOOSE(CONTROL!$C$12, $D$11, 100%, $F$11)</f>
        <v>30.805499999999999</v>
      </c>
      <c r="K883" s="4"/>
      <c r="L883" s="9">
        <v>27.3993</v>
      </c>
      <c r="M883" s="9">
        <v>12.063700000000001</v>
      </c>
      <c r="N883" s="9">
        <v>4.9444999999999997</v>
      </c>
      <c r="O883" s="9">
        <v>0.37459999999999999</v>
      </c>
      <c r="P883" s="9">
        <v>1.2939000000000001</v>
      </c>
      <c r="Q883" s="9">
        <v>19.688099999999999</v>
      </c>
      <c r="R883" s="9"/>
      <c r="S883" s="11"/>
    </row>
    <row r="884" spans="1:19" ht="15.75">
      <c r="A884" s="13">
        <v>68788</v>
      </c>
      <c r="B884" s="8">
        <f>32.643 * CHOOSE(CONTROL!$C$12, $D$11, 100%, $F$11)</f>
        <v>32.643000000000001</v>
      </c>
      <c r="C884" s="8">
        <f>32.6534 * CHOOSE(CONTROL!$C$12, $D$11, 100%, $F$11)</f>
        <v>32.653399999999998</v>
      </c>
      <c r="D884" s="8">
        <f>32.6566 * CHOOSE( CONTROL!$C$12, $D$11, 100%, $F$11)</f>
        <v>32.656599999999997</v>
      </c>
      <c r="E884" s="12">
        <f>32.6544 * CHOOSE( CONTROL!$C$12, $D$11, 100%, $F$11)</f>
        <v>32.654400000000003</v>
      </c>
      <c r="F884" s="4">
        <f>33.6502 * CHOOSE(CONTROL!$C$12, $D$11, 100%, $F$11)</f>
        <v>33.650199999999998</v>
      </c>
      <c r="G884" s="8">
        <f>31.8142 * CHOOSE( CONTROL!$C$12, $D$11, 100%, $F$11)</f>
        <v>31.8142</v>
      </c>
      <c r="H884" s="4">
        <f>32.725 * CHOOSE(CONTROL!$C$12, $D$11, 100%, $F$11)</f>
        <v>32.725000000000001</v>
      </c>
      <c r="I884" s="8">
        <f>31.3376 * CHOOSE(CONTROL!$C$12, $D$11, 100%, $F$11)</f>
        <v>31.337599999999998</v>
      </c>
      <c r="J884" s="4">
        <f>31.2737 * CHOOSE(CONTROL!$C$12, $D$11, 100%, $F$11)</f>
        <v>31.273700000000002</v>
      </c>
      <c r="K884" s="4"/>
      <c r="L884" s="9">
        <v>27.988800000000001</v>
      </c>
      <c r="M884" s="9">
        <v>11.6745</v>
      </c>
      <c r="N884" s="9">
        <v>4.7850000000000001</v>
      </c>
      <c r="O884" s="9">
        <v>0.36249999999999999</v>
      </c>
      <c r="P884" s="9">
        <v>1.1798</v>
      </c>
      <c r="Q884" s="9">
        <v>19.053000000000001</v>
      </c>
      <c r="R884" s="9"/>
      <c r="S884" s="11"/>
    </row>
    <row r="885" spans="1:19" ht="15.75">
      <c r="A885" s="13">
        <v>68819</v>
      </c>
      <c r="B885" s="8">
        <f>CHOOSE( CONTROL!$C$29, 33.5169, 33.5126) * CHOOSE(CONTROL!$C$12, $D$11, 100%, $F$11)</f>
        <v>33.5169</v>
      </c>
      <c r="C885" s="8">
        <f>CHOOSE( CONTROL!$C$29, 33.5273, 33.5231) * CHOOSE(CONTROL!$C$12, $D$11, 100%, $F$11)</f>
        <v>33.527299999999997</v>
      </c>
      <c r="D885" s="8">
        <f>CHOOSE( CONTROL!$C$29, 33.5052, 33.501) * CHOOSE( CONTROL!$C$12, $D$11, 100%, $F$11)</f>
        <v>33.505200000000002</v>
      </c>
      <c r="E885" s="12">
        <f>CHOOSE( CONTROL!$C$29, 33.5116, 33.5074) * CHOOSE( CONTROL!$C$12, $D$11, 100%, $F$11)</f>
        <v>33.511600000000001</v>
      </c>
      <c r="F885" s="4">
        <f>CHOOSE( CONTROL!$C$29, 34.4918, 34.4875) * CHOOSE(CONTROL!$C$12, $D$11, 100%, $F$11)</f>
        <v>34.491799999999998</v>
      </c>
      <c r="G885" s="8">
        <f>CHOOSE( CONTROL!$C$29, 32.6473, 32.6431) * CHOOSE( CONTROL!$C$12, $D$11, 100%, $F$11)</f>
        <v>32.647300000000001</v>
      </c>
      <c r="H885" s="4">
        <f>CHOOSE( CONTROL!$C$29, 33.5454, 33.5412) * CHOOSE(CONTROL!$C$12, $D$11, 100%, $F$11)</f>
        <v>33.545400000000001</v>
      </c>
      <c r="I885" s="8">
        <f>CHOOSE( CONTROL!$C$29, 32.1539, 32.1498) * CHOOSE(CONTROL!$C$12, $D$11, 100%, $F$11)</f>
        <v>32.1539</v>
      </c>
      <c r="J885" s="4">
        <f>CHOOSE( CONTROL!$C$29, 32.1111, 32.1071) * CHOOSE(CONTROL!$C$12, $D$11, 100%, $F$11)</f>
        <v>32.1111</v>
      </c>
      <c r="K885" s="4"/>
      <c r="L885" s="9">
        <v>29.520499999999998</v>
      </c>
      <c r="M885" s="9">
        <v>12.063700000000001</v>
      </c>
      <c r="N885" s="9">
        <v>4.9444999999999997</v>
      </c>
      <c r="O885" s="9">
        <v>0.37459999999999999</v>
      </c>
      <c r="P885" s="9">
        <v>1.2192000000000001</v>
      </c>
      <c r="Q885" s="9">
        <v>19.688099999999999</v>
      </c>
      <c r="R885" s="9"/>
      <c r="S885" s="11"/>
    </row>
    <row r="886" spans="1:19" ht="15.75">
      <c r="A886" s="13">
        <v>68849</v>
      </c>
      <c r="B886" s="8">
        <f>CHOOSE( CONTROL!$C$29, 32.9782, 32.9739) * CHOOSE(CONTROL!$C$12, $D$11, 100%, $F$11)</f>
        <v>32.978200000000001</v>
      </c>
      <c r="C886" s="8">
        <f>CHOOSE( CONTROL!$C$29, 32.9886, 32.9844) * CHOOSE(CONTROL!$C$12, $D$11, 100%, $F$11)</f>
        <v>32.988599999999998</v>
      </c>
      <c r="D886" s="8">
        <f>CHOOSE( CONTROL!$C$29, 32.9609, 32.9567) * CHOOSE( CONTROL!$C$12, $D$11, 100%, $F$11)</f>
        <v>32.960900000000002</v>
      </c>
      <c r="E886" s="12">
        <f>CHOOSE( CONTROL!$C$29, 32.9694, 32.9651) * CHOOSE( CONTROL!$C$12, $D$11, 100%, $F$11)</f>
        <v>32.9694</v>
      </c>
      <c r="F886" s="4">
        <f>CHOOSE( CONTROL!$C$29, 33.9426, 33.9384) * CHOOSE(CONTROL!$C$12, $D$11, 100%, $F$11)</f>
        <v>33.942599999999999</v>
      </c>
      <c r="G886" s="8">
        <f>CHOOSE( CONTROL!$C$29, 32.1209, 32.1167) * CHOOSE( CONTROL!$C$12, $D$11, 100%, $F$11)</f>
        <v>32.120899999999999</v>
      </c>
      <c r="H886" s="4">
        <f>CHOOSE( CONTROL!$C$29, 33.01, 33.0059) * CHOOSE(CONTROL!$C$12, $D$11, 100%, $F$11)</f>
        <v>33.01</v>
      </c>
      <c r="I886" s="8">
        <f>CHOOSE( CONTROL!$C$29, 31.6396, 31.6355) * CHOOSE(CONTROL!$C$12, $D$11, 100%, $F$11)</f>
        <v>31.639600000000002</v>
      </c>
      <c r="J886" s="4">
        <f>CHOOSE( CONTROL!$C$29, 31.5949, 31.5909) * CHOOSE(CONTROL!$C$12, $D$11, 100%, $F$11)</f>
        <v>31.594899999999999</v>
      </c>
      <c r="K886" s="4"/>
      <c r="L886" s="9">
        <v>28.568200000000001</v>
      </c>
      <c r="M886" s="9">
        <v>11.6745</v>
      </c>
      <c r="N886" s="9">
        <v>4.7850000000000001</v>
      </c>
      <c r="O886" s="9">
        <v>0.36249999999999999</v>
      </c>
      <c r="P886" s="9">
        <v>1.1798</v>
      </c>
      <c r="Q886" s="9">
        <v>19.053000000000001</v>
      </c>
      <c r="R886" s="9"/>
      <c r="S886" s="11"/>
    </row>
    <row r="887" spans="1:19" ht="15.75">
      <c r="A887" s="13">
        <v>68880</v>
      </c>
      <c r="B887" s="8">
        <f>CHOOSE( CONTROL!$C$29, 34.3968, 34.3926) * CHOOSE(CONTROL!$C$12, $D$11, 100%, $F$11)</f>
        <v>34.396799999999999</v>
      </c>
      <c r="C887" s="8">
        <f>CHOOSE( CONTROL!$C$29, 34.4073, 34.403) * CHOOSE(CONTROL!$C$12, $D$11, 100%, $F$11)</f>
        <v>34.407299999999999</v>
      </c>
      <c r="D887" s="8">
        <f>CHOOSE( CONTROL!$C$29, 34.4134, 34.4091) * CHOOSE( CONTROL!$C$12, $D$11, 100%, $F$11)</f>
        <v>34.413400000000003</v>
      </c>
      <c r="E887" s="12">
        <f>CHOOSE( CONTROL!$C$29, 34.4096, 34.4053) * CHOOSE( CONTROL!$C$12, $D$11, 100%, $F$11)</f>
        <v>34.409599999999998</v>
      </c>
      <c r="F887" s="4">
        <f>CHOOSE( CONTROL!$C$29, 35.4067, 35.4024) * CHOOSE(CONTROL!$C$12, $D$11, 100%, $F$11)</f>
        <v>35.406700000000001</v>
      </c>
      <c r="G887" s="8">
        <f>CHOOSE( CONTROL!$C$29, 33.5298, 33.5256) * CHOOSE( CONTROL!$C$12, $D$11, 100%, $F$11)</f>
        <v>33.529800000000002</v>
      </c>
      <c r="H887" s="4">
        <f>CHOOSE( CONTROL!$C$29, 34.4372, 34.433) * CHOOSE(CONTROL!$C$12, $D$11, 100%, $F$11)</f>
        <v>34.437199999999997</v>
      </c>
      <c r="I887" s="8">
        <f>CHOOSE( CONTROL!$C$29, 33.0549, 33.0508) * CHOOSE(CONTROL!$C$12, $D$11, 100%, $F$11)</f>
        <v>33.054900000000004</v>
      </c>
      <c r="J887" s="4">
        <f>CHOOSE( CONTROL!$C$29, 32.9543, 32.9502) * CHOOSE(CONTROL!$C$12, $D$11, 100%, $F$11)</f>
        <v>32.954300000000003</v>
      </c>
      <c r="K887" s="4"/>
      <c r="L887" s="9">
        <v>29.520499999999998</v>
      </c>
      <c r="M887" s="9">
        <v>12.063700000000001</v>
      </c>
      <c r="N887" s="9">
        <v>4.9444999999999997</v>
      </c>
      <c r="O887" s="9">
        <v>0.37459999999999999</v>
      </c>
      <c r="P887" s="9">
        <v>1.2192000000000001</v>
      </c>
      <c r="Q887" s="9">
        <v>19.688099999999999</v>
      </c>
      <c r="R887" s="9"/>
      <c r="S887" s="11"/>
    </row>
    <row r="888" spans="1:19" ht="15.75">
      <c r="A888" s="13">
        <v>68911</v>
      </c>
      <c r="B888" s="8">
        <f>CHOOSE( CONTROL!$C$29, 31.7424, 31.7381) * CHOOSE(CONTROL!$C$12, $D$11, 100%, $F$11)</f>
        <v>31.7424</v>
      </c>
      <c r="C888" s="8">
        <f>CHOOSE( CONTROL!$C$29, 31.7528, 31.7485) * CHOOSE(CONTROL!$C$12, $D$11, 100%, $F$11)</f>
        <v>31.752800000000001</v>
      </c>
      <c r="D888" s="8">
        <f>CHOOSE( CONTROL!$C$29, 31.7754, 31.7711) * CHOOSE( CONTROL!$C$12, $D$11, 100%, $F$11)</f>
        <v>31.775400000000001</v>
      </c>
      <c r="E888" s="12">
        <f>CHOOSE( CONTROL!$C$29, 31.7656, 31.7613) * CHOOSE( CONTROL!$C$12, $D$11, 100%, $F$11)</f>
        <v>31.765599999999999</v>
      </c>
      <c r="F888" s="4">
        <f>CHOOSE( CONTROL!$C$29, 32.7809, 32.7767) * CHOOSE(CONTROL!$C$12, $D$11, 100%, $F$11)</f>
        <v>32.780900000000003</v>
      </c>
      <c r="G888" s="8">
        <f>CHOOSE( CONTROL!$C$29, 30.9479, 30.9437) * CHOOSE( CONTROL!$C$12, $D$11, 100%, $F$11)</f>
        <v>30.947900000000001</v>
      </c>
      <c r="H888" s="4">
        <f>CHOOSE( CONTROL!$C$29, 31.8776, 31.8735) * CHOOSE(CONTROL!$C$12, $D$11, 100%, $F$11)</f>
        <v>31.877600000000001</v>
      </c>
      <c r="I888" s="8">
        <f>CHOOSE( CONTROL!$C$29, 30.5016, 30.4975) * CHOOSE(CONTROL!$C$12, $D$11, 100%, $F$11)</f>
        <v>30.5016</v>
      </c>
      <c r="J888" s="4">
        <f>CHOOSE( CONTROL!$C$29, 30.4108, 30.4067) * CHOOSE(CONTROL!$C$12, $D$11, 100%, $F$11)</f>
        <v>30.410799999999998</v>
      </c>
      <c r="K888" s="4"/>
      <c r="L888" s="9">
        <v>29.520499999999998</v>
      </c>
      <c r="M888" s="9">
        <v>12.063700000000001</v>
      </c>
      <c r="N888" s="9">
        <v>4.9444999999999997</v>
      </c>
      <c r="O888" s="9">
        <v>0.37459999999999999</v>
      </c>
      <c r="P888" s="9">
        <v>1.2192000000000001</v>
      </c>
      <c r="Q888" s="9">
        <v>19.688099999999999</v>
      </c>
      <c r="R888" s="9"/>
      <c r="S888" s="11"/>
    </row>
    <row r="889" spans="1:19" ht="15.75">
      <c r="A889" s="13">
        <v>68941</v>
      </c>
      <c r="B889" s="8">
        <f>CHOOSE( CONTROL!$C$29, 31.0776, 31.0734) * CHOOSE(CONTROL!$C$12, $D$11, 100%, $F$11)</f>
        <v>31.0776</v>
      </c>
      <c r="C889" s="8">
        <f>CHOOSE( CONTROL!$C$29, 31.0881, 31.0838) * CHOOSE(CONTROL!$C$12, $D$11, 100%, $F$11)</f>
        <v>31.088100000000001</v>
      </c>
      <c r="D889" s="8">
        <f>CHOOSE( CONTROL!$C$29, 31.1106, 31.1064) * CHOOSE( CONTROL!$C$12, $D$11, 100%, $F$11)</f>
        <v>31.110600000000002</v>
      </c>
      <c r="E889" s="12">
        <f>CHOOSE( CONTROL!$C$29, 31.1008, 31.0966) * CHOOSE( CONTROL!$C$12, $D$11, 100%, $F$11)</f>
        <v>31.1008</v>
      </c>
      <c r="F889" s="4">
        <f>CHOOSE( CONTROL!$C$29, 32.1162, 32.112) * CHOOSE(CONTROL!$C$12, $D$11, 100%, $F$11)</f>
        <v>32.116199999999999</v>
      </c>
      <c r="G889" s="8">
        <f>CHOOSE( CONTROL!$C$29, 30.2996, 30.2955) * CHOOSE( CONTROL!$C$12, $D$11, 100%, $F$11)</f>
        <v>30.299600000000002</v>
      </c>
      <c r="H889" s="4">
        <f>CHOOSE( CONTROL!$C$29, 31.2297, 31.2256) * CHOOSE(CONTROL!$C$12, $D$11, 100%, $F$11)</f>
        <v>31.229700000000001</v>
      </c>
      <c r="I889" s="8">
        <f>CHOOSE( CONTROL!$C$29, 29.8626, 29.8586) * CHOOSE(CONTROL!$C$12, $D$11, 100%, $F$11)</f>
        <v>29.8626</v>
      </c>
      <c r="J889" s="4">
        <f>CHOOSE( CONTROL!$C$29, 29.7738, 29.7698) * CHOOSE(CONTROL!$C$12, $D$11, 100%, $F$11)</f>
        <v>29.773800000000001</v>
      </c>
      <c r="K889" s="4"/>
      <c r="L889" s="9">
        <v>28.568200000000001</v>
      </c>
      <c r="M889" s="9">
        <v>11.6745</v>
      </c>
      <c r="N889" s="9">
        <v>4.7850000000000001</v>
      </c>
      <c r="O889" s="9">
        <v>0.36249999999999999</v>
      </c>
      <c r="P889" s="9">
        <v>1.1798</v>
      </c>
      <c r="Q889" s="9">
        <v>19.053000000000001</v>
      </c>
      <c r="R889" s="9"/>
      <c r="S889" s="11"/>
    </row>
    <row r="890" spans="1:19" ht="15.75">
      <c r="A890" s="13">
        <v>68972</v>
      </c>
      <c r="B890" s="8">
        <f>32.4536 * CHOOSE(CONTROL!$C$12, $D$11, 100%, $F$11)</f>
        <v>32.453600000000002</v>
      </c>
      <c r="C890" s="8">
        <f>32.464 * CHOOSE(CONTROL!$C$12, $D$11, 100%, $F$11)</f>
        <v>32.463999999999999</v>
      </c>
      <c r="D890" s="8">
        <f>32.4684 * CHOOSE( CONTROL!$C$12, $D$11, 100%, $F$11)</f>
        <v>32.468400000000003</v>
      </c>
      <c r="E890" s="12">
        <f>32.4658 * CHOOSE( CONTROL!$C$12, $D$11, 100%, $F$11)</f>
        <v>32.465800000000002</v>
      </c>
      <c r="F890" s="4">
        <f>33.4608 * CHOOSE(CONTROL!$C$12, $D$11, 100%, $F$11)</f>
        <v>33.460799999999999</v>
      </c>
      <c r="G890" s="8">
        <f>31.6311 * CHOOSE( CONTROL!$C$12, $D$11, 100%, $F$11)</f>
        <v>31.6311</v>
      </c>
      <c r="H890" s="4">
        <f>32.5404 * CHOOSE(CONTROL!$C$12, $D$11, 100%, $F$11)</f>
        <v>32.540399999999998</v>
      </c>
      <c r="I890" s="8">
        <f>31.1783 * CHOOSE(CONTROL!$C$12, $D$11, 100%, $F$11)</f>
        <v>31.1783</v>
      </c>
      <c r="J890" s="4">
        <f>31.0922 * CHOOSE(CONTROL!$C$12, $D$11, 100%, $F$11)</f>
        <v>31.092199999999998</v>
      </c>
      <c r="K890" s="4"/>
      <c r="L890" s="9">
        <v>28.921800000000001</v>
      </c>
      <c r="M890" s="9">
        <v>12.063700000000001</v>
      </c>
      <c r="N890" s="9">
        <v>4.9444999999999997</v>
      </c>
      <c r="O890" s="9">
        <v>0.37459999999999999</v>
      </c>
      <c r="P890" s="9">
        <v>1.2192000000000001</v>
      </c>
      <c r="Q890" s="9">
        <v>19.688099999999999</v>
      </c>
      <c r="R890" s="9"/>
      <c r="S890" s="11"/>
    </row>
    <row r="891" spans="1:19" ht="15.75">
      <c r="A891" s="13">
        <v>69002</v>
      </c>
      <c r="B891" s="8">
        <f>35.0011 * CHOOSE(CONTROL!$C$12, $D$11, 100%, $F$11)</f>
        <v>35.001100000000001</v>
      </c>
      <c r="C891" s="8">
        <f>35.0115 * CHOOSE(CONTROL!$C$12, $D$11, 100%, $F$11)</f>
        <v>35.011499999999998</v>
      </c>
      <c r="D891" s="8">
        <f>34.9939 * CHOOSE( CONTROL!$C$12, $D$11, 100%, $F$11)</f>
        <v>34.993899999999996</v>
      </c>
      <c r="E891" s="12">
        <f>34.9992 * CHOOSE( CONTROL!$C$12, $D$11, 100%, $F$11)</f>
        <v>34.999200000000002</v>
      </c>
      <c r="F891" s="4">
        <f>35.9953 * CHOOSE(CONTROL!$C$12, $D$11, 100%, $F$11)</f>
        <v>35.9953</v>
      </c>
      <c r="G891" s="8">
        <f>34.1268 * CHOOSE( CONTROL!$C$12, $D$11, 100%, $F$11)</f>
        <v>34.126800000000003</v>
      </c>
      <c r="H891" s="4">
        <f>35.0109 * CHOOSE(CONTROL!$C$12, $D$11, 100%, $F$11)</f>
        <v>35.010899999999999</v>
      </c>
      <c r="I891" s="8">
        <f>33.644 * CHOOSE(CONTROL!$C$12, $D$11, 100%, $F$11)</f>
        <v>33.643999999999998</v>
      </c>
      <c r="J891" s="4">
        <f>33.5333 * CHOOSE(CONTROL!$C$12, $D$11, 100%, $F$11)</f>
        <v>33.533299999999997</v>
      </c>
      <c r="K891" s="4"/>
      <c r="L891" s="9">
        <v>26.515499999999999</v>
      </c>
      <c r="M891" s="9">
        <v>11.6745</v>
      </c>
      <c r="N891" s="9">
        <v>4.7850000000000001</v>
      </c>
      <c r="O891" s="9">
        <v>0.36249999999999999</v>
      </c>
      <c r="P891" s="9">
        <v>1.2522</v>
      </c>
      <c r="Q891" s="9">
        <v>19.053000000000001</v>
      </c>
      <c r="R891" s="9"/>
      <c r="S891" s="11"/>
    </row>
    <row r="892" spans="1:19" ht="15.75">
      <c r="A892" s="13">
        <v>69033</v>
      </c>
      <c r="B892" s="8">
        <f>34.9374 * CHOOSE(CONTROL!$C$12, $D$11, 100%, $F$11)</f>
        <v>34.937399999999997</v>
      </c>
      <c r="C892" s="8">
        <f>34.9479 * CHOOSE(CONTROL!$C$12, $D$11, 100%, $F$11)</f>
        <v>34.947899999999997</v>
      </c>
      <c r="D892" s="8">
        <f>34.9323 * CHOOSE( CONTROL!$C$12, $D$11, 100%, $F$11)</f>
        <v>34.932299999999998</v>
      </c>
      <c r="E892" s="12">
        <f>34.9369 * CHOOSE( CONTROL!$C$12, $D$11, 100%, $F$11)</f>
        <v>34.936900000000001</v>
      </c>
      <c r="F892" s="4">
        <f>35.9316 * CHOOSE(CONTROL!$C$12, $D$11, 100%, $F$11)</f>
        <v>35.931600000000003</v>
      </c>
      <c r="G892" s="8">
        <f>34.0663 * CHOOSE( CONTROL!$C$12, $D$11, 100%, $F$11)</f>
        <v>34.066299999999998</v>
      </c>
      <c r="H892" s="4">
        <f>34.9489 * CHOOSE(CONTROL!$C$12, $D$11, 100%, $F$11)</f>
        <v>34.948900000000002</v>
      </c>
      <c r="I892" s="8">
        <f>33.5903 * CHOOSE(CONTROL!$C$12, $D$11, 100%, $F$11)</f>
        <v>33.590299999999999</v>
      </c>
      <c r="J892" s="4">
        <f>33.4723 * CHOOSE(CONTROL!$C$12, $D$11, 100%, $F$11)</f>
        <v>33.472299999999997</v>
      </c>
      <c r="K892" s="4"/>
      <c r="L892" s="9">
        <v>27.3993</v>
      </c>
      <c r="M892" s="9">
        <v>12.063700000000001</v>
      </c>
      <c r="N892" s="9">
        <v>4.9444999999999997</v>
      </c>
      <c r="O892" s="9">
        <v>0.37459999999999999</v>
      </c>
      <c r="P892" s="9">
        <v>1.2939000000000001</v>
      </c>
      <c r="Q892" s="9">
        <v>19.688099999999999</v>
      </c>
      <c r="R892" s="9"/>
      <c r="S892" s="11"/>
    </row>
    <row r="893" spans="1:19" ht="15.75">
      <c r="A893" s="13">
        <v>69064</v>
      </c>
      <c r="B893" s="8">
        <f>36.2725 * CHOOSE(CONTROL!$C$12, $D$11, 100%, $F$11)</f>
        <v>36.272500000000001</v>
      </c>
      <c r="C893" s="8">
        <f>36.283 * CHOOSE(CONTROL!$C$12, $D$11, 100%, $F$11)</f>
        <v>36.283000000000001</v>
      </c>
      <c r="D893" s="8">
        <f>36.2806 * CHOOSE( CONTROL!$C$12, $D$11, 100%, $F$11)</f>
        <v>36.2806</v>
      </c>
      <c r="E893" s="12">
        <f>36.2804 * CHOOSE( CONTROL!$C$12, $D$11, 100%, $F$11)</f>
        <v>36.2804</v>
      </c>
      <c r="F893" s="4">
        <f>37.2954 * CHOOSE(CONTROL!$C$12, $D$11, 100%, $F$11)</f>
        <v>37.295400000000001</v>
      </c>
      <c r="G893" s="8">
        <f>35.3849 * CHOOSE( CONTROL!$C$12, $D$11, 100%, $F$11)</f>
        <v>35.384900000000002</v>
      </c>
      <c r="H893" s="4">
        <f>36.2783 * CHOOSE(CONTROL!$C$12, $D$11, 100%, $F$11)</f>
        <v>36.278300000000002</v>
      </c>
      <c r="I893" s="8">
        <f>34.8775 * CHOOSE(CONTROL!$C$12, $D$11, 100%, $F$11)</f>
        <v>34.877499999999998</v>
      </c>
      <c r="J893" s="4">
        <f>34.7516 * CHOOSE(CONTROL!$C$12, $D$11, 100%, $F$11)</f>
        <v>34.751600000000003</v>
      </c>
      <c r="K893" s="4"/>
      <c r="L893" s="9">
        <v>27.3993</v>
      </c>
      <c r="M893" s="9">
        <v>12.063700000000001</v>
      </c>
      <c r="N893" s="9">
        <v>4.9444999999999997</v>
      </c>
      <c r="O893" s="9">
        <v>0.37459999999999999</v>
      </c>
      <c r="P893" s="9">
        <v>1.2939000000000001</v>
      </c>
      <c r="Q893" s="9">
        <v>19.688099999999999</v>
      </c>
      <c r="R893" s="9"/>
      <c r="S893" s="11"/>
    </row>
    <row r="894" spans="1:19" ht="15.75">
      <c r="A894" s="13">
        <v>69092</v>
      </c>
      <c r="B894" s="8">
        <f>33.9279 * CHOOSE(CONTROL!$C$12, $D$11, 100%, $F$11)</f>
        <v>33.927900000000001</v>
      </c>
      <c r="C894" s="8">
        <f>33.9383 * CHOOSE(CONTROL!$C$12, $D$11, 100%, $F$11)</f>
        <v>33.938299999999998</v>
      </c>
      <c r="D894" s="8">
        <f>33.9383 * CHOOSE( CONTROL!$C$12, $D$11, 100%, $F$11)</f>
        <v>33.938299999999998</v>
      </c>
      <c r="E894" s="12">
        <f>33.9372 * CHOOSE( CONTROL!$C$12, $D$11, 100%, $F$11)</f>
        <v>33.937199999999997</v>
      </c>
      <c r="F894" s="4">
        <f>34.943 * CHOOSE(CONTROL!$C$12, $D$11, 100%, $F$11)</f>
        <v>34.942999999999998</v>
      </c>
      <c r="G894" s="8">
        <f>33.0993 * CHOOSE( CONTROL!$C$12, $D$11, 100%, $F$11)</f>
        <v>33.099299999999999</v>
      </c>
      <c r="H894" s="4">
        <f>33.9852 * CHOOSE(CONTROL!$C$12, $D$11, 100%, $F$11)</f>
        <v>33.985199999999999</v>
      </c>
      <c r="I894" s="8">
        <f>32.6189 * CHOOSE(CONTROL!$C$12, $D$11, 100%, $F$11)</f>
        <v>32.618899999999996</v>
      </c>
      <c r="J894" s="4">
        <f>32.5049 * CHOOSE(CONTROL!$C$12, $D$11, 100%, $F$11)</f>
        <v>32.504899999999999</v>
      </c>
      <c r="K894" s="4"/>
      <c r="L894" s="9">
        <v>24.747800000000002</v>
      </c>
      <c r="M894" s="9">
        <v>10.8962</v>
      </c>
      <c r="N894" s="9">
        <v>4.4660000000000002</v>
      </c>
      <c r="O894" s="9">
        <v>0.33829999999999999</v>
      </c>
      <c r="P894" s="9">
        <v>1.1687000000000001</v>
      </c>
      <c r="Q894" s="9">
        <v>17.782800000000002</v>
      </c>
      <c r="R894" s="9"/>
      <c r="S894" s="11"/>
    </row>
    <row r="895" spans="1:19" ht="15.75">
      <c r="A895" s="13">
        <v>69123</v>
      </c>
      <c r="B895" s="8">
        <f>33.2058 * CHOOSE(CONTROL!$C$12, $D$11, 100%, $F$11)</f>
        <v>33.205800000000004</v>
      </c>
      <c r="C895" s="8">
        <f>33.2162 * CHOOSE(CONTROL!$C$12, $D$11, 100%, $F$11)</f>
        <v>33.216200000000001</v>
      </c>
      <c r="D895" s="8">
        <f>33.196 * CHOOSE( CONTROL!$C$12, $D$11, 100%, $F$11)</f>
        <v>33.195999999999998</v>
      </c>
      <c r="E895" s="12">
        <f>33.2023 * CHOOSE( CONTROL!$C$12, $D$11, 100%, $F$11)</f>
        <v>33.202300000000001</v>
      </c>
      <c r="F895" s="4">
        <f>34.2047 * CHOOSE(CONTROL!$C$12, $D$11, 100%, $F$11)</f>
        <v>34.204700000000003</v>
      </c>
      <c r="G895" s="8">
        <f>32.3749 * CHOOSE( CONTROL!$C$12, $D$11, 100%, $F$11)</f>
        <v>32.374899999999997</v>
      </c>
      <c r="H895" s="4">
        <f>33.2655 * CHOOSE(CONTROL!$C$12, $D$11, 100%, $F$11)</f>
        <v>33.265500000000003</v>
      </c>
      <c r="I895" s="8">
        <f>31.887 * CHOOSE(CONTROL!$C$12, $D$11, 100%, $F$11)</f>
        <v>31.887</v>
      </c>
      <c r="J895" s="4">
        <f>31.813 * CHOOSE(CONTROL!$C$12, $D$11, 100%, $F$11)</f>
        <v>31.812999999999999</v>
      </c>
      <c r="K895" s="4"/>
      <c r="L895" s="9">
        <v>27.3993</v>
      </c>
      <c r="M895" s="9">
        <v>12.063700000000001</v>
      </c>
      <c r="N895" s="9">
        <v>4.9444999999999997</v>
      </c>
      <c r="O895" s="9">
        <v>0.37459999999999999</v>
      </c>
      <c r="P895" s="9">
        <v>1.2939000000000001</v>
      </c>
      <c r="Q895" s="9">
        <v>19.688099999999999</v>
      </c>
      <c r="R895" s="9"/>
      <c r="S895" s="11"/>
    </row>
    <row r="896" spans="1:19" ht="15.75">
      <c r="A896" s="13">
        <v>69153</v>
      </c>
      <c r="B896" s="8">
        <f>33.7104 * CHOOSE(CONTROL!$C$12, $D$11, 100%, $F$11)</f>
        <v>33.7104</v>
      </c>
      <c r="C896" s="8">
        <f>33.7208 * CHOOSE(CONTROL!$C$12, $D$11, 100%, $F$11)</f>
        <v>33.720799999999997</v>
      </c>
      <c r="D896" s="8">
        <f>33.724 * CHOOSE( CONTROL!$C$12, $D$11, 100%, $F$11)</f>
        <v>33.723999999999997</v>
      </c>
      <c r="E896" s="12">
        <f>33.7218 * CHOOSE( CONTROL!$C$12, $D$11, 100%, $F$11)</f>
        <v>33.721800000000002</v>
      </c>
      <c r="F896" s="4">
        <f>34.7176 * CHOOSE(CONTROL!$C$12, $D$11, 100%, $F$11)</f>
        <v>34.717599999999997</v>
      </c>
      <c r="G896" s="8">
        <f>32.8546 * CHOOSE( CONTROL!$C$12, $D$11, 100%, $F$11)</f>
        <v>32.854599999999998</v>
      </c>
      <c r="H896" s="4">
        <f>33.7655 * CHOOSE(CONTROL!$C$12, $D$11, 100%, $F$11)</f>
        <v>33.765500000000003</v>
      </c>
      <c r="I896" s="8">
        <f>32.3609 * CHOOSE(CONTROL!$C$12, $D$11, 100%, $F$11)</f>
        <v>32.360900000000001</v>
      </c>
      <c r="J896" s="4">
        <f>32.2965 * CHOOSE(CONTROL!$C$12, $D$11, 100%, $F$11)</f>
        <v>32.296500000000002</v>
      </c>
      <c r="K896" s="4"/>
      <c r="L896" s="9">
        <v>27.988800000000001</v>
      </c>
      <c r="M896" s="9">
        <v>11.6745</v>
      </c>
      <c r="N896" s="9">
        <v>4.7850000000000001</v>
      </c>
      <c r="O896" s="9">
        <v>0.36249999999999999</v>
      </c>
      <c r="P896" s="9">
        <v>1.1798</v>
      </c>
      <c r="Q896" s="9">
        <v>19.053000000000001</v>
      </c>
      <c r="R896" s="9"/>
      <c r="S896" s="11"/>
    </row>
    <row r="897" spans="1:19" ht="15.75">
      <c r="A897" s="13">
        <v>69184</v>
      </c>
      <c r="B897" s="8">
        <f>CHOOSE( CONTROL!$C$29, 34.6127, 34.6085) * CHOOSE(CONTROL!$C$12, $D$11, 100%, $F$11)</f>
        <v>34.612699999999997</v>
      </c>
      <c r="C897" s="8">
        <f>CHOOSE( CONTROL!$C$29, 34.6231, 34.6189) * CHOOSE(CONTROL!$C$12, $D$11, 100%, $F$11)</f>
        <v>34.623100000000001</v>
      </c>
      <c r="D897" s="8">
        <f>CHOOSE( CONTROL!$C$29, 34.6011, 34.5968) * CHOOSE( CONTROL!$C$12, $D$11, 100%, $F$11)</f>
        <v>34.601100000000002</v>
      </c>
      <c r="E897" s="12">
        <f>CHOOSE( CONTROL!$C$29, 34.6075, 34.6032) * CHOOSE( CONTROL!$C$12, $D$11, 100%, $F$11)</f>
        <v>34.607500000000002</v>
      </c>
      <c r="F897" s="4">
        <f>CHOOSE( CONTROL!$C$29, 35.5876, 35.5834) * CHOOSE(CONTROL!$C$12, $D$11, 100%, $F$11)</f>
        <v>35.587600000000002</v>
      </c>
      <c r="G897" s="8">
        <f>CHOOSE( CONTROL!$C$29, 33.7154, 33.7113) * CHOOSE( CONTROL!$C$12, $D$11, 100%, $F$11)</f>
        <v>33.715400000000002</v>
      </c>
      <c r="H897" s="4">
        <f>CHOOSE( CONTROL!$C$29, 34.6135, 34.6094) * CHOOSE(CONTROL!$C$12, $D$11, 100%, $F$11)</f>
        <v>34.613500000000002</v>
      </c>
      <c r="I897" s="8">
        <f>CHOOSE( CONTROL!$C$29, 33.2044, 33.2004) * CHOOSE(CONTROL!$C$12, $D$11, 100%, $F$11)</f>
        <v>33.2044</v>
      </c>
      <c r="J897" s="4">
        <f>CHOOSE( CONTROL!$C$29, 33.1611, 33.1571) * CHOOSE(CONTROL!$C$12, $D$11, 100%, $F$11)</f>
        <v>33.161099999999998</v>
      </c>
      <c r="K897" s="4"/>
      <c r="L897" s="9">
        <v>29.520499999999998</v>
      </c>
      <c r="M897" s="9">
        <v>12.063700000000001</v>
      </c>
      <c r="N897" s="9">
        <v>4.9444999999999997</v>
      </c>
      <c r="O897" s="9">
        <v>0.37459999999999999</v>
      </c>
      <c r="P897" s="9">
        <v>1.2192000000000001</v>
      </c>
      <c r="Q897" s="9">
        <v>19.688099999999999</v>
      </c>
      <c r="R897" s="9"/>
      <c r="S897" s="11"/>
    </row>
    <row r="898" spans="1:19" ht="15.75">
      <c r="A898" s="13">
        <v>69214</v>
      </c>
      <c r="B898" s="8">
        <f>CHOOSE( CONTROL!$C$29, 34.0564, 34.0521) * CHOOSE(CONTROL!$C$12, $D$11, 100%, $F$11)</f>
        <v>34.056399999999996</v>
      </c>
      <c r="C898" s="8">
        <f>CHOOSE( CONTROL!$C$29, 34.0668, 34.0626) * CHOOSE(CONTROL!$C$12, $D$11, 100%, $F$11)</f>
        <v>34.066800000000001</v>
      </c>
      <c r="D898" s="8">
        <f>CHOOSE( CONTROL!$C$29, 34.0391, 34.0349) * CHOOSE( CONTROL!$C$12, $D$11, 100%, $F$11)</f>
        <v>34.039099999999998</v>
      </c>
      <c r="E898" s="12">
        <f>CHOOSE( CONTROL!$C$29, 34.0476, 34.0433) * CHOOSE( CONTROL!$C$12, $D$11, 100%, $F$11)</f>
        <v>34.047600000000003</v>
      </c>
      <c r="F898" s="4">
        <f>CHOOSE( CONTROL!$C$29, 35.0208, 35.0166) * CHOOSE(CONTROL!$C$12, $D$11, 100%, $F$11)</f>
        <v>35.020800000000001</v>
      </c>
      <c r="G898" s="8">
        <f>CHOOSE( CONTROL!$C$29, 33.1719, 33.1677) * CHOOSE( CONTROL!$C$12, $D$11, 100%, $F$11)</f>
        <v>33.171900000000001</v>
      </c>
      <c r="H898" s="4">
        <f>CHOOSE( CONTROL!$C$29, 34.0611, 34.0569) * CHOOSE(CONTROL!$C$12, $D$11, 100%, $F$11)</f>
        <v>34.061100000000003</v>
      </c>
      <c r="I898" s="8">
        <f>CHOOSE( CONTROL!$C$29, 32.6732, 32.6692) * CHOOSE(CONTROL!$C$12, $D$11, 100%, $F$11)</f>
        <v>32.673200000000001</v>
      </c>
      <c r="J898" s="4">
        <f>CHOOSE( CONTROL!$C$29, 32.6281, 32.624) * CHOOSE(CONTROL!$C$12, $D$11, 100%, $F$11)</f>
        <v>32.628100000000003</v>
      </c>
      <c r="K898" s="4"/>
      <c r="L898" s="9">
        <v>28.568200000000001</v>
      </c>
      <c r="M898" s="9">
        <v>11.6745</v>
      </c>
      <c r="N898" s="9">
        <v>4.7850000000000001</v>
      </c>
      <c r="O898" s="9">
        <v>0.36249999999999999</v>
      </c>
      <c r="P898" s="9">
        <v>1.1798</v>
      </c>
      <c r="Q898" s="9">
        <v>19.053000000000001</v>
      </c>
      <c r="R898" s="9"/>
      <c r="S898" s="11"/>
    </row>
    <row r="899" spans="1:19" ht="15.75">
      <c r="A899" s="13">
        <v>69245</v>
      </c>
      <c r="B899" s="8">
        <f>CHOOSE( CONTROL!$C$29, 35.5214, 35.5172) * CHOOSE(CONTROL!$C$12, $D$11, 100%, $F$11)</f>
        <v>35.5214</v>
      </c>
      <c r="C899" s="8">
        <f>CHOOSE( CONTROL!$C$29, 35.5319, 35.5276) * CHOOSE(CONTROL!$C$12, $D$11, 100%, $F$11)</f>
        <v>35.5319</v>
      </c>
      <c r="D899" s="8">
        <f>CHOOSE( CONTROL!$C$29, 35.538, 35.5337) * CHOOSE( CONTROL!$C$12, $D$11, 100%, $F$11)</f>
        <v>35.537999999999997</v>
      </c>
      <c r="E899" s="12">
        <f>CHOOSE( CONTROL!$C$29, 35.5342, 35.5299) * CHOOSE( CONTROL!$C$12, $D$11, 100%, $F$11)</f>
        <v>35.534199999999998</v>
      </c>
      <c r="F899" s="4">
        <f>CHOOSE( CONTROL!$C$29, 36.5313, 36.527) * CHOOSE(CONTROL!$C$12, $D$11, 100%, $F$11)</f>
        <v>36.531300000000002</v>
      </c>
      <c r="G899" s="8">
        <f>CHOOSE( CONTROL!$C$29, 34.626, 34.6219) * CHOOSE( CONTROL!$C$12, $D$11, 100%, $F$11)</f>
        <v>34.625999999999998</v>
      </c>
      <c r="H899" s="4">
        <f>CHOOSE( CONTROL!$C$29, 35.5334, 35.5293) * CHOOSE(CONTROL!$C$12, $D$11, 100%, $F$11)</f>
        <v>35.5334</v>
      </c>
      <c r="I899" s="8">
        <f>CHOOSE( CONTROL!$C$29, 34.133, 34.129) * CHOOSE(CONTROL!$C$12, $D$11, 100%, $F$11)</f>
        <v>34.133000000000003</v>
      </c>
      <c r="J899" s="4">
        <f>CHOOSE( CONTROL!$C$29, 34.0319, 34.0278) * CHOOSE(CONTROL!$C$12, $D$11, 100%, $F$11)</f>
        <v>34.0319</v>
      </c>
      <c r="K899" s="4"/>
      <c r="L899" s="9">
        <v>29.520499999999998</v>
      </c>
      <c r="M899" s="9">
        <v>12.063700000000001</v>
      </c>
      <c r="N899" s="9">
        <v>4.9444999999999997</v>
      </c>
      <c r="O899" s="9">
        <v>0.37459999999999999</v>
      </c>
      <c r="P899" s="9">
        <v>1.2192000000000001</v>
      </c>
      <c r="Q899" s="9">
        <v>19.688099999999999</v>
      </c>
      <c r="R899" s="9"/>
      <c r="S899" s="11"/>
    </row>
    <row r="900" spans="1:19" ht="15.75">
      <c r="A900" s="13">
        <v>69276</v>
      </c>
      <c r="B900" s="8">
        <f>CHOOSE( CONTROL!$C$29, 32.7801, 32.7759) * CHOOSE(CONTROL!$C$12, $D$11, 100%, $F$11)</f>
        <v>32.780099999999997</v>
      </c>
      <c r="C900" s="8">
        <f>CHOOSE( CONTROL!$C$29, 32.7906, 32.7863) * CHOOSE(CONTROL!$C$12, $D$11, 100%, $F$11)</f>
        <v>32.790599999999998</v>
      </c>
      <c r="D900" s="8">
        <f>CHOOSE( CONTROL!$C$29, 32.8132, 32.8089) * CHOOSE( CONTROL!$C$12, $D$11, 100%, $F$11)</f>
        <v>32.813200000000002</v>
      </c>
      <c r="E900" s="12">
        <f>CHOOSE( CONTROL!$C$29, 32.8034, 32.7991) * CHOOSE( CONTROL!$C$12, $D$11, 100%, $F$11)</f>
        <v>32.803400000000003</v>
      </c>
      <c r="F900" s="4">
        <f>CHOOSE( CONTROL!$C$29, 33.8187, 33.8145) * CHOOSE(CONTROL!$C$12, $D$11, 100%, $F$11)</f>
        <v>33.8187</v>
      </c>
      <c r="G900" s="8">
        <f>CHOOSE( CONTROL!$C$29, 31.9595, 31.9554) * CHOOSE( CONTROL!$C$12, $D$11, 100%, $F$11)</f>
        <v>31.959499999999998</v>
      </c>
      <c r="H900" s="4">
        <f>CHOOSE( CONTROL!$C$29, 32.8893, 32.8851) * CHOOSE(CONTROL!$C$12, $D$11, 100%, $F$11)</f>
        <v>32.889299999999999</v>
      </c>
      <c r="I900" s="8">
        <f>CHOOSE( CONTROL!$C$29, 31.4965, 31.4924) * CHOOSE(CONTROL!$C$12, $D$11, 100%, $F$11)</f>
        <v>31.496500000000001</v>
      </c>
      <c r="J900" s="4">
        <f>CHOOSE( CONTROL!$C$29, 31.4052, 31.4011) * CHOOSE(CONTROL!$C$12, $D$11, 100%, $F$11)</f>
        <v>31.405200000000001</v>
      </c>
      <c r="K900" s="4"/>
      <c r="L900" s="9">
        <v>29.520499999999998</v>
      </c>
      <c r="M900" s="9">
        <v>12.063700000000001</v>
      </c>
      <c r="N900" s="9">
        <v>4.9444999999999997</v>
      </c>
      <c r="O900" s="9">
        <v>0.37459999999999999</v>
      </c>
      <c r="P900" s="9">
        <v>1.2192000000000001</v>
      </c>
      <c r="Q900" s="9">
        <v>19.688099999999999</v>
      </c>
      <c r="R900" s="9"/>
      <c r="S900" s="11"/>
    </row>
    <row r="901" spans="1:19" ht="15.75">
      <c r="A901" s="13">
        <v>69306</v>
      </c>
      <c r="B901" s="8">
        <f>CHOOSE( CONTROL!$C$29, 32.0937, 32.0895) * CHOOSE(CONTROL!$C$12, $D$11, 100%, $F$11)</f>
        <v>32.093699999999998</v>
      </c>
      <c r="C901" s="8">
        <f>CHOOSE( CONTROL!$C$29, 32.1041, 32.0999) * CHOOSE(CONTROL!$C$12, $D$11, 100%, $F$11)</f>
        <v>32.104100000000003</v>
      </c>
      <c r="D901" s="8">
        <f>CHOOSE( CONTROL!$C$29, 32.1267, 32.1224) * CHOOSE( CONTROL!$C$12, $D$11, 100%, $F$11)</f>
        <v>32.1267</v>
      </c>
      <c r="E901" s="12">
        <f>CHOOSE( CONTROL!$C$29, 32.1169, 32.1127) * CHOOSE( CONTROL!$C$12, $D$11, 100%, $F$11)</f>
        <v>32.116900000000001</v>
      </c>
      <c r="F901" s="4">
        <f>CHOOSE( CONTROL!$C$29, 33.1323, 33.128) * CHOOSE(CONTROL!$C$12, $D$11, 100%, $F$11)</f>
        <v>33.132300000000001</v>
      </c>
      <c r="G901" s="8">
        <f>CHOOSE( CONTROL!$C$29, 31.29, 31.2859) * CHOOSE( CONTROL!$C$12, $D$11, 100%, $F$11)</f>
        <v>31.29</v>
      </c>
      <c r="H901" s="4">
        <f>CHOOSE( CONTROL!$C$29, 32.2201, 32.216) * CHOOSE(CONTROL!$C$12, $D$11, 100%, $F$11)</f>
        <v>32.220100000000002</v>
      </c>
      <c r="I901" s="8">
        <f>CHOOSE( CONTROL!$C$29, 30.8367, 30.8326) * CHOOSE(CONTROL!$C$12, $D$11, 100%, $F$11)</f>
        <v>30.8367</v>
      </c>
      <c r="J901" s="4">
        <f>CHOOSE( CONTROL!$C$29, 30.7474, 30.7434) * CHOOSE(CONTROL!$C$12, $D$11, 100%, $F$11)</f>
        <v>30.747399999999999</v>
      </c>
      <c r="K901" s="4"/>
      <c r="L901" s="9">
        <v>28.568200000000001</v>
      </c>
      <c r="M901" s="9">
        <v>11.6745</v>
      </c>
      <c r="N901" s="9">
        <v>4.7850000000000001</v>
      </c>
      <c r="O901" s="9">
        <v>0.36249999999999999</v>
      </c>
      <c r="P901" s="9">
        <v>1.1798</v>
      </c>
      <c r="Q901" s="9">
        <v>19.053000000000001</v>
      </c>
      <c r="R901" s="9"/>
      <c r="S901" s="11"/>
    </row>
    <row r="902" spans="1:19" ht="15.75">
      <c r="A902" s="13">
        <v>69337</v>
      </c>
      <c r="B902" s="8">
        <f>33.5148 * CHOOSE(CONTROL!$C$12, $D$11, 100%, $F$11)</f>
        <v>33.514800000000001</v>
      </c>
      <c r="C902" s="8">
        <f>33.5252 * CHOOSE(CONTROL!$C$12, $D$11, 100%, $F$11)</f>
        <v>33.525199999999998</v>
      </c>
      <c r="D902" s="8">
        <f>33.5296 * CHOOSE( CONTROL!$C$12, $D$11, 100%, $F$11)</f>
        <v>33.529600000000002</v>
      </c>
      <c r="E902" s="12">
        <f>33.527 * CHOOSE( CONTROL!$C$12, $D$11, 100%, $F$11)</f>
        <v>33.527000000000001</v>
      </c>
      <c r="F902" s="4">
        <f>34.522 * CHOOSE(CONTROL!$C$12, $D$11, 100%, $F$11)</f>
        <v>34.521999999999998</v>
      </c>
      <c r="G902" s="8">
        <f>32.6655 * CHOOSE( CONTROL!$C$12, $D$11, 100%, $F$11)</f>
        <v>32.665500000000002</v>
      </c>
      <c r="H902" s="4">
        <f>33.5748 * CHOOSE(CONTROL!$C$12, $D$11, 100%, $F$11)</f>
        <v>33.574800000000003</v>
      </c>
      <c r="I902" s="8">
        <f>32.1957 * CHOOSE(CONTROL!$C$12, $D$11, 100%, $F$11)</f>
        <v>32.195700000000002</v>
      </c>
      <c r="J902" s="4">
        <f>32.1091 * CHOOSE(CONTROL!$C$12, $D$11, 100%, $F$11)</f>
        <v>32.109099999999998</v>
      </c>
      <c r="K902" s="4"/>
      <c r="L902" s="9">
        <v>28.921800000000001</v>
      </c>
      <c r="M902" s="9">
        <v>12.063700000000001</v>
      </c>
      <c r="N902" s="9">
        <v>4.9444999999999997</v>
      </c>
      <c r="O902" s="9">
        <v>0.37459999999999999</v>
      </c>
      <c r="P902" s="9">
        <v>1.2192000000000001</v>
      </c>
      <c r="Q902" s="9">
        <v>19.688099999999999</v>
      </c>
      <c r="R902" s="9"/>
      <c r="S902" s="11"/>
    </row>
    <row r="903" spans="1:19" ht="15.75">
      <c r="A903" s="13">
        <v>69367</v>
      </c>
      <c r="B903" s="8">
        <f>36.1456 * CHOOSE(CONTROL!$C$12, $D$11, 100%, $F$11)</f>
        <v>36.145600000000002</v>
      </c>
      <c r="C903" s="8">
        <f>36.156 * CHOOSE(CONTROL!$C$12, $D$11, 100%, $F$11)</f>
        <v>36.155999999999999</v>
      </c>
      <c r="D903" s="8">
        <f>36.1384 * CHOOSE( CONTROL!$C$12, $D$11, 100%, $F$11)</f>
        <v>36.138399999999997</v>
      </c>
      <c r="E903" s="12">
        <f>36.1437 * CHOOSE( CONTROL!$C$12, $D$11, 100%, $F$11)</f>
        <v>36.143700000000003</v>
      </c>
      <c r="F903" s="4">
        <f>37.1398 * CHOOSE(CONTROL!$C$12, $D$11, 100%, $F$11)</f>
        <v>37.139800000000001</v>
      </c>
      <c r="G903" s="8">
        <f>35.2425 * CHOOSE( CONTROL!$C$12, $D$11, 100%, $F$11)</f>
        <v>35.2425</v>
      </c>
      <c r="H903" s="4">
        <f>36.1266 * CHOOSE(CONTROL!$C$12, $D$11, 100%, $F$11)</f>
        <v>36.126600000000003</v>
      </c>
      <c r="I903" s="8">
        <f>34.7413 * CHOOSE(CONTROL!$C$12, $D$11, 100%, $F$11)</f>
        <v>34.741300000000003</v>
      </c>
      <c r="J903" s="4">
        <f>34.6299 * CHOOSE(CONTROL!$C$12, $D$11, 100%, $F$11)</f>
        <v>34.629899999999999</v>
      </c>
      <c r="K903" s="4"/>
      <c r="L903" s="9">
        <v>26.515499999999999</v>
      </c>
      <c r="M903" s="9">
        <v>11.6745</v>
      </c>
      <c r="N903" s="9">
        <v>4.7850000000000001</v>
      </c>
      <c r="O903" s="9">
        <v>0.36249999999999999</v>
      </c>
      <c r="P903" s="9">
        <v>1.2522</v>
      </c>
      <c r="Q903" s="9">
        <v>19.053000000000001</v>
      </c>
      <c r="R903" s="9"/>
      <c r="S903" s="11"/>
    </row>
    <row r="904" spans="1:19" ht="15.75">
      <c r="A904" s="13">
        <v>69398</v>
      </c>
      <c r="B904" s="8">
        <f>36.0799 * CHOOSE(CONTROL!$C$12, $D$11, 100%, $F$11)</f>
        <v>36.079900000000002</v>
      </c>
      <c r="C904" s="8">
        <f>36.0903 * CHOOSE(CONTROL!$C$12, $D$11, 100%, $F$11)</f>
        <v>36.090299999999999</v>
      </c>
      <c r="D904" s="8">
        <f>36.0747 * CHOOSE( CONTROL!$C$12, $D$11, 100%, $F$11)</f>
        <v>36.0747</v>
      </c>
      <c r="E904" s="12">
        <f>36.0793 * CHOOSE( CONTROL!$C$12, $D$11, 100%, $F$11)</f>
        <v>36.079300000000003</v>
      </c>
      <c r="F904" s="4">
        <f>37.0741 * CHOOSE(CONTROL!$C$12, $D$11, 100%, $F$11)</f>
        <v>37.074100000000001</v>
      </c>
      <c r="G904" s="8">
        <f>35.1799 * CHOOSE( CONTROL!$C$12, $D$11, 100%, $F$11)</f>
        <v>35.179900000000004</v>
      </c>
      <c r="H904" s="4">
        <f>36.0625 * CHOOSE(CONTROL!$C$12, $D$11, 100%, $F$11)</f>
        <v>36.0625</v>
      </c>
      <c r="I904" s="8">
        <f>34.6855 * CHOOSE(CONTROL!$C$12, $D$11, 100%, $F$11)</f>
        <v>34.685499999999998</v>
      </c>
      <c r="J904" s="4">
        <f>34.567 * CHOOSE(CONTROL!$C$12, $D$11, 100%, $F$11)</f>
        <v>34.567</v>
      </c>
      <c r="K904" s="4"/>
      <c r="L904" s="9">
        <v>27.3993</v>
      </c>
      <c r="M904" s="9">
        <v>12.063700000000001</v>
      </c>
      <c r="N904" s="9">
        <v>4.9444999999999997</v>
      </c>
      <c r="O904" s="9">
        <v>0.37459999999999999</v>
      </c>
      <c r="P904" s="9">
        <v>1.2939000000000001</v>
      </c>
      <c r="Q904" s="9">
        <v>19.688099999999999</v>
      </c>
      <c r="R904" s="9"/>
      <c r="S904" s="11"/>
    </row>
    <row r="905" spans="1:19" ht="15.75">
      <c r="A905" s="13">
        <v>69429</v>
      </c>
      <c r="B905" s="8">
        <f>37.4586 * CHOOSE(CONTROL!$C$12, $D$11, 100%, $F$11)</f>
        <v>37.458599999999997</v>
      </c>
      <c r="C905" s="8">
        <f>37.469 * CHOOSE(CONTROL!$C$12, $D$11, 100%, $F$11)</f>
        <v>37.469000000000001</v>
      </c>
      <c r="D905" s="8">
        <f>37.4667 * CHOOSE( CONTROL!$C$12, $D$11, 100%, $F$11)</f>
        <v>37.466700000000003</v>
      </c>
      <c r="E905" s="12">
        <f>37.4664 * CHOOSE( CONTROL!$C$12, $D$11, 100%, $F$11)</f>
        <v>37.4664</v>
      </c>
      <c r="F905" s="4">
        <f>38.4815 * CHOOSE(CONTROL!$C$12, $D$11, 100%, $F$11)</f>
        <v>38.481499999999997</v>
      </c>
      <c r="G905" s="8">
        <f>36.5411 * CHOOSE( CONTROL!$C$12, $D$11, 100%, $F$11)</f>
        <v>36.5411</v>
      </c>
      <c r="H905" s="4">
        <f>37.4344 * CHOOSE(CONTROL!$C$12, $D$11, 100%, $F$11)</f>
        <v>37.434399999999997</v>
      </c>
      <c r="I905" s="8">
        <f>36.0146 * CHOOSE(CONTROL!$C$12, $D$11, 100%, $F$11)</f>
        <v>36.014600000000002</v>
      </c>
      <c r="J905" s="4">
        <f>35.8881 * CHOOSE(CONTROL!$C$12, $D$11, 100%, $F$11)</f>
        <v>35.888100000000001</v>
      </c>
      <c r="K905" s="4"/>
      <c r="L905" s="9">
        <v>27.3993</v>
      </c>
      <c r="M905" s="9">
        <v>12.063700000000001</v>
      </c>
      <c r="N905" s="9">
        <v>4.9444999999999997</v>
      </c>
      <c r="O905" s="9">
        <v>0.37459999999999999</v>
      </c>
      <c r="P905" s="9">
        <v>1.2939000000000001</v>
      </c>
      <c r="Q905" s="9">
        <v>19.688099999999999</v>
      </c>
      <c r="R905" s="9"/>
      <c r="S905" s="11"/>
    </row>
    <row r="906" spans="1:19" ht="15.75">
      <c r="A906" s="13">
        <v>69457</v>
      </c>
      <c r="B906" s="8">
        <f>35.0373 * CHOOSE(CONTROL!$C$12, $D$11, 100%, $F$11)</f>
        <v>35.037300000000002</v>
      </c>
      <c r="C906" s="8">
        <f>35.0477 * CHOOSE(CONTROL!$C$12, $D$11, 100%, $F$11)</f>
        <v>35.047699999999999</v>
      </c>
      <c r="D906" s="8">
        <f>35.0477 * CHOOSE( CONTROL!$C$12, $D$11, 100%, $F$11)</f>
        <v>35.047699999999999</v>
      </c>
      <c r="E906" s="12">
        <f>35.0466 * CHOOSE( CONTROL!$C$12, $D$11, 100%, $F$11)</f>
        <v>35.046599999999998</v>
      </c>
      <c r="F906" s="4">
        <f>36.0524 * CHOOSE(CONTROL!$C$12, $D$11, 100%, $F$11)</f>
        <v>36.052399999999999</v>
      </c>
      <c r="G906" s="8">
        <f>34.1807 * CHOOSE( CONTROL!$C$12, $D$11, 100%, $F$11)</f>
        <v>34.180700000000002</v>
      </c>
      <c r="H906" s="4">
        <f>35.0666 * CHOOSE(CONTROL!$C$12, $D$11, 100%, $F$11)</f>
        <v>35.066600000000001</v>
      </c>
      <c r="I906" s="8">
        <f>33.6824 * CHOOSE(CONTROL!$C$12, $D$11, 100%, $F$11)</f>
        <v>33.682400000000001</v>
      </c>
      <c r="J906" s="4">
        <f>33.568 * CHOOSE(CONTROL!$C$12, $D$11, 100%, $F$11)</f>
        <v>33.567999999999998</v>
      </c>
      <c r="K906" s="4"/>
      <c r="L906" s="9">
        <v>24.747800000000002</v>
      </c>
      <c r="M906" s="9">
        <v>10.8962</v>
      </c>
      <c r="N906" s="9">
        <v>4.4660000000000002</v>
      </c>
      <c r="O906" s="9">
        <v>0.33829999999999999</v>
      </c>
      <c r="P906" s="9">
        <v>1.1687000000000001</v>
      </c>
      <c r="Q906" s="9">
        <v>17.782800000000002</v>
      </c>
      <c r="R906" s="9"/>
      <c r="S906" s="11"/>
    </row>
    <row r="907" spans="1:19" ht="15.75">
      <c r="A907" s="13">
        <v>69488</v>
      </c>
      <c r="B907" s="8">
        <f>34.2915 * CHOOSE(CONTROL!$C$12, $D$11, 100%, $F$11)</f>
        <v>34.291499999999999</v>
      </c>
      <c r="C907" s="8">
        <f>34.302 * CHOOSE(CONTROL!$C$12, $D$11, 100%, $F$11)</f>
        <v>34.302</v>
      </c>
      <c r="D907" s="8">
        <f>34.2818 * CHOOSE( CONTROL!$C$12, $D$11, 100%, $F$11)</f>
        <v>34.281799999999997</v>
      </c>
      <c r="E907" s="12">
        <f>34.2881 * CHOOSE( CONTROL!$C$12, $D$11, 100%, $F$11)</f>
        <v>34.2881</v>
      </c>
      <c r="F907" s="4">
        <f>35.2904 * CHOOSE(CONTROL!$C$12, $D$11, 100%, $F$11)</f>
        <v>35.290399999999998</v>
      </c>
      <c r="G907" s="8">
        <f>33.4333 * CHOOSE( CONTROL!$C$12, $D$11, 100%, $F$11)</f>
        <v>33.433300000000003</v>
      </c>
      <c r="H907" s="4">
        <f>34.3239 * CHOOSE(CONTROL!$C$12, $D$11, 100%, $F$11)</f>
        <v>34.323900000000002</v>
      </c>
      <c r="I907" s="8">
        <f>32.928 * CHOOSE(CONTROL!$C$12, $D$11, 100%, $F$11)</f>
        <v>32.927999999999997</v>
      </c>
      <c r="J907" s="4">
        <f>32.8534 * CHOOSE(CONTROL!$C$12, $D$11, 100%, $F$11)</f>
        <v>32.853400000000001</v>
      </c>
      <c r="K907" s="4"/>
      <c r="L907" s="9">
        <v>27.3993</v>
      </c>
      <c r="M907" s="9">
        <v>12.063700000000001</v>
      </c>
      <c r="N907" s="9">
        <v>4.9444999999999997</v>
      </c>
      <c r="O907" s="9">
        <v>0.37459999999999999</v>
      </c>
      <c r="P907" s="9">
        <v>1.2939000000000001</v>
      </c>
      <c r="Q907" s="9">
        <v>19.688099999999999</v>
      </c>
      <c r="R907" s="9"/>
      <c r="S907" s="11"/>
    </row>
    <row r="908" spans="1:19" ht="15.75">
      <c r="A908" s="13">
        <v>69518</v>
      </c>
      <c r="B908" s="8">
        <f>34.8127 * CHOOSE(CONTROL!$C$12, $D$11, 100%, $F$11)</f>
        <v>34.8127</v>
      </c>
      <c r="C908" s="8">
        <f>34.8231 * CHOOSE(CONTROL!$C$12, $D$11, 100%, $F$11)</f>
        <v>34.823099999999997</v>
      </c>
      <c r="D908" s="8">
        <f>34.8263 * CHOOSE( CONTROL!$C$12, $D$11, 100%, $F$11)</f>
        <v>34.826300000000003</v>
      </c>
      <c r="E908" s="12">
        <f>34.8241 * CHOOSE( CONTROL!$C$12, $D$11, 100%, $F$11)</f>
        <v>34.824100000000001</v>
      </c>
      <c r="F908" s="4">
        <f>35.8199 * CHOOSE(CONTROL!$C$12, $D$11, 100%, $F$11)</f>
        <v>35.819899999999997</v>
      </c>
      <c r="G908" s="8">
        <f>33.9291 * CHOOSE( CONTROL!$C$12, $D$11, 100%, $F$11)</f>
        <v>33.929099999999998</v>
      </c>
      <c r="H908" s="4">
        <f>34.84 * CHOOSE(CONTROL!$C$12, $D$11, 100%, $F$11)</f>
        <v>34.840000000000003</v>
      </c>
      <c r="I908" s="8">
        <f>33.4177 * CHOOSE(CONTROL!$C$12, $D$11, 100%, $F$11)</f>
        <v>33.417700000000004</v>
      </c>
      <c r="J908" s="4">
        <f>33.3527 * CHOOSE(CONTROL!$C$12, $D$11, 100%, $F$11)</f>
        <v>33.352699999999999</v>
      </c>
      <c r="K908" s="4"/>
      <c r="L908" s="9">
        <v>27.988800000000001</v>
      </c>
      <c r="M908" s="9">
        <v>11.6745</v>
      </c>
      <c r="N908" s="9">
        <v>4.7850000000000001</v>
      </c>
      <c r="O908" s="9">
        <v>0.36249999999999999</v>
      </c>
      <c r="P908" s="9">
        <v>1.1798</v>
      </c>
      <c r="Q908" s="9">
        <v>19.053000000000001</v>
      </c>
      <c r="R908" s="9"/>
      <c r="S908" s="11"/>
    </row>
    <row r="909" spans="1:19" ht="15.75">
      <c r="A909" s="13">
        <v>69549</v>
      </c>
      <c r="B909" s="8">
        <f>CHOOSE( CONTROL!$C$29, 35.7444, 35.7401) * CHOOSE(CONTROL!$C$12, $D$11, 100%, $F$11)</f>
        <v>35.744399999999999</v>
      </c>
      <c r="C909" s="8">
        <f>CHOOSE( CONTROL!$C$29, 35.7548, 35.7506) * CHOOSE(CONTROL!$C$12, $D$11, 100%, $F$11)</f>
        <v>35.754800000000003</v>
      </c>
      <c r="D909" s="8">
        <f>CHOOSE( CONTROL!$C$29, 35.7327, 35.7285) * CHOOSE( CONTROL!$C$12, $D$11, 100%, $F$11)</f>
        <v>35.732700000000001</v>
      </c>
      <c r="E909" s="12">
        <f>CHOOSE( CONTROL!$C$29, 35.7391, 35.7349) * CHOOSE( CONTROL!$C$12, $D$11, 100%, $F$11)</f>
        <v>35.739100000000001</v>
      </c>
      <c r="F909" s="4">
        <f>CHOOSE( CONTROL!$C$29, 36.7193, 36.715) * CHOOSE(CONTROL!$C$12, $D$11, 100%, $F$11)</f>
        <v>36.719299999999997</v>
      </c>
      <c r="G909" s="8">
        <f>CHOOSE( CONTROL!$C$29, 34.8185, 34.8144) * CHOOSE( CONTROL!$C$12, $D$11, 100%, $F$11)</f>
        <v>34.8185</v>
      </c>
      <c r="H909" s="4">
        <f>CHOOSE( CONTROL!$C$29, 35.7166, 35.7125) * CHOOSE(CONTROL!$C$12, $D$11, 100%, $F$11)</f>
        <v>35.7166</v>
      </c>
      <c r="I909" s="8">
        <f>CHOOSE( CONTROL!$C$29, 34.2893, 34.2853) * CHOOSE(CONTROL!$C$12, $D$11, 100%, $F$11)</f>
        <v>34.289299999999997</v>
      </c>
      <c r="J909" s="4">
        <f>CHOOSE( CONTROL!$C$29, 34.2455, 34.2414) * CHOOSE(CONTROL!$C$12, $D$11, 100%, $F$11)</f>
        <v>34.2455</v>
      </c>
      <c r="K909" s="4"/>
      <c r="L909" s="9">
        <v>29.520499999999998</v>
      </c>
      <c r="M909" s="9">
        <v>12.063700000000001</v>
      </c>
      <c r="N909" s="9">
        <v>4.9444999999999997</v>
      </c>
      <c r="O909" s="9">
        <v>0.37459999999999999</v>
      </c>
      <c r="P909" s="9">
        <v>1.2192000000000001</v>
      </c>
      <c r="Q909" s="9">
        <v>19.688099999999999</v>
      </c>
      <c r="R909" s="9"/>
      <c r="S909" s="11"/>
    </row>
    <row r="910" spans="1:19" ht="15.75">
      <c r="A910" s="13">
        <v>69579</v>
      </c>
      <c r="B910" s="8">
        <f>CHOOSE( CONTROL!$C$29, 35.1698, 35.1656) * CHOOSE(CONTROL!$C$12, $D$11, 100%, $F$11)</f>
        <v>35.169800000000002</v>
      </c>
      <c r="C910" s="8">
        <f>CHOOSE( CONTROL!$C$29, 35.1803, 35.176) * CHOOSE(CONTROL!$C$12, $D$11, 100%, $F$11)</f>
        <v>35.180300000000003</v>
      </c>
      <c r="D910" s="8">
        <f>CHOOSE( CONTROL!$C$29, 35.1526, 35.1484) * CHOOSE( CONTROL!$C$12, $D$11, 100%, $F$11)</f>
        <v>35.1526</v>
      </c>
      <c r="E910" s="12">
        <f>CHOOSE( CONTROL!$C$29, 35.161, 35.1568) * CHOOSE( CONTROL!$C$12, $D$11, 100%, $F$11)</f>
        <v>35.161000000000001</v>
      </c>
      <c r="F910" s="4">
        <f>CHOOSE( CONTROL!$C$29, 36.1343, 36.1301) * CHOOSE(CONTROL!$C$12, $D$11, 100%, $F$11)</f>
        <v>36.134300000000003</v>
      </c>
      <c r="G910" s="8">
        <f>CHOOSE( CONTROL!$C$29, 34.2572, 34.2531) * CHOOSE( CONTROL!$C$12, $D$11, 100%, $F$11)</f>
        <v>34.257199999999997</v>
      </c>
      <c r="H910" s="4">
        <f>CHOOSE( CONTROL!$C$29, 35.1464, 35.1423) * CHOOSE(CONTROL!$C$12, $D$11, 100%, $F$11)</f>
        <v>35.1464</v>
      </c>
      <c r="I910" s="8">
        <f>CHOOSE( CONTROL!$C$29, 33.7407, 33.7366) * CHOOSE(CONTROL!$C$12, $D$11, 100%, $F$11)</f>
        <v>33.740699999999997</v>
      </c>
      <c r="J910" s="4">
        <f>CHOOSE( CONTROL!$C$29, 33.695, 33.6909) * CHOOSE(CONTROL!$C$12, $D$11, 100%, $F$11)</f>
        <v>33.695</v>
      </c>
      <c r="K910" s="4"/>
      <c r="L910" s="9">
        <v>28.568200000000001</v>
      </c>
      <c r="M910" s="9">
        <v>11.6745</v>
      </c>
      <c r="N910" s="9">
        <v>4.7850000000000001</v>
      </c>
      <c r="O910" s="9">
        <v>0.36249999999999999</v>
      </c>
      <c r="P910" s="9">
        <v>1.1798</v>
      </c>
      <c r="Q910" s="9">
        <v>19.053000000000001</v>
      </c>
      <c r="R910" s="9"/>
      <c r="S910" s="11"/>
    </row>
    <row r="911" spans="1:19" ht="15.75">
      <c r="A911" s="13">
        <v>69610</v>
      </c>
      <c r="B911" s="8">
        <f>CHOOSE( CONTROL!$C$29, 36.6828, 36.6786) * CHOOSE(CONTROL!$C$12, $D$11, 100%, $F$11)</f>
        <v>36.6828</v>
      </c>
      <c r="C911" s="8">
        <f>CHOOSE( CONTROL!$C$29, 36.6932, 36.689) * CHOOSE(CONTROL!$C$12, $D$11, 100%, $F$11)</f>
        <v>36.693199999999997</v>
      </c>
      <c r="D911" s="8">
        <f>CHOOSE( CONTROL!$C$29, 36.6994, 36.6951) * CHOOSE( CONTROL!$C$12, $D$11, 100%, $F$11)</f>
        <v>36.699399999999997</v>
      </c>
      <c r="E911" s="12">
        <f>CHOOSE( CONTROL!$C$29, 36.6956, 36.6913) * CHOOSE( CONTROL!$C$12, $D$11, 100%, $F$11)</f>
        <v>36.695599999999999</v>
      </c>
      <c r="F911" s="4">
        <f>CHOOSE( CONTROL!$C$29, 37.6927, 37.6884) * CHOOSE(CONTROL!$C$12, $D$11, 100%, $F$11)</f>
        <v>37.692700000000002</v>
      </c>
      <c r="G911" s="8">
        <f>CHOOSE( CONTROL!$C$29, 35.7581, 35.754) * CHOOSE( CONTROL!$C$12, $D$11, 100%, $F$11)</f>
        <v>35.758099999999999</v>
      </c>
      <c r="H911" s="4">
        <f>CHOOSE( CONTROL!$C$29, 36.6655, 36.6613) * CHOOSE(CONTROL!$C$12, $D$11, 100%, $F$11)</f>
        <v>36.665500000000002</v>
      </c>
      <c r="I911" s="8">
        <f>CHOOSE( CONTROL!$C$29, 35.2464, 35.2424) * CHOOSE(CONTROL!$C$12, $D$11, 100%, $F$11)</f>
        <v>35.246400000000001</v>
      </c>
      <c r="J911" s="4">
        <f>CHOOSE( CONTROL!$C$29, 35.1447, 35.1406) * CHOOSE(CONTROL!$C$12, $D$11, 100%, $F$11)</f>
        <v>35.1447</v>
      </c>
      <c r="K911" s="4"/>
      <c r="L911" s="9">
        <v>29.520499999999998</v>
      </c>
      <c r="M911" s="9">
        <v>12.063700000000001</v>
      </c>
      <c r="N911" s="9">
        <v>4.9444999999999997</v>
      </c>
      <c r="O911" s="9">
        <v>0.37459999999999999</v>
      </c>
      <c r="P911" s="9">
        <v>1.2192000000000001</v>
      </c>
      <c r="Q911" s="9">
        <v>19.688099999999999</v>
      </c>
      <c r="R911" s="9"/>
      <c r="S911" s="11"/>
    </row>
    <row r="912" spans="1:19" ht="15.75">
      <c r="A912" s="13">
        <v>69641</v>
      </c>
      <c r="B912" s="8">
        <f>CHOOSE( CONTROL!$C$29, 33.8519, 33.8476) * CHOOSE(CONTROL!$C$12, $D$11, 100%, $F$11)</f>
        <v>33.851900000000001</v>
      </c>
      <c r="C912" s="8">
        <f>CHOOSE( CONTROL!$C$29, 33.8623, 33.8581) * CHOOSE(CONTROL!$C$12, $D$11, 100%, $F$11)</f>
        <v>33.862299999999998</v>
      </c>
      <c r="D912" s="8">
        <f>CHOOSE( CONTROL!$C$29, 33.8849, 33.8807) * CHOOSE( CONTROL!$C$12, $D$11, 100%, $F$11)</f>
        <v>33.884900000000002</v>
      </c>
      <c r="E912" s="12">
        <f>CHOOSE( CONTROL!$C$29, 33.8751, 33.8709) * CHOOSE( CONTROL!$C$12, $D$11, 100%, $F$11)</f>
        <v>33.875100000000003</v>
      </c>
      <c r="F912" s="4">
        <f>CHOOSE( CONTROL!$C$29, 34.8904, 34.8862) * CHOOSE(CONTROL!$C$12, $D$11, 100%, $F$11)</f>
        <v>34.8904</v>
      </c>
      <c r="G912" s="8">
        <f>CHOOSE( CONTROL!$C$29, 33.0042, 33) * CHOOSE( CONTROL!$C$12, $D$11, 100%, $F$11)</f>
        <v>33.004199999999997</v>
      </c>
      <c r="H912" s="4">
        <f>CHOOSE( CONTROL!$C$29, 33.9339, 33.9298) * CHOOSE(CONTROL!$C$12, $D$11, 100%, $F$11)</f>
        <v>33.933900000000001</v>
      </c>
      <c r="I912" s="8">
        <f>CHOOSE( CONTROL!$C$29, 32.524, 32.5199) * CHOOSE(CONTROL!$C$12, $D$11, 100%, $F$11)</f>
        <v>32.524000000000001</v>
      </c>
      <c r="J912" s="4">
        <f>CHOOSE( CONTROL!$C$29, 32.4321, 32.428) * CHOOSE(CONTROL!$C$12, $D$11, 100%, $F$11)</f>
        <v>32.432099999999998</v>
      </c>
      <c r="K912" s="4"/>
      <c r="L912" s="9">
        <v>29.520499999999998</v>
      </c>
      <c r="M912" s="9">
        <v>12.063700000000001</v>
      </c>
      <c r="N912" s="9">
        <v>4.9444999999999997</v>
      </c>
      <c r="O912" s="9">
        <v>0.37459999999999999</v>
      </c>
      <c r="P912" s="9">
        <v>1.2192000000000001</v>
      </c>
      <c r="Q912" s="9">
        <v>19.688099999999999</v>
      </c>
      <c r="R912" s="9"/>
      <c r="S912" s="11"/>
    </row>
    <row r="913" spans="1:19" ht="15.75">
      <c r="A913" s="13">
        <v>69671</v>
      </c>
      <c r="B913" s="8">
        <f>CHOOSE( CONTROL!$C$29, 33.143, 33.1387) * CHOOSE(CONTROL!$C$12, $D$11, 100%, $F$11)</f>
        <v>33.143000000000001</v>
      </c>
      <c r="C913" s="8">
        <f>CHOOSE( CONTROL!$C$29, 33.1534, 33.1492) * CHOOSE(CONTROL!$C$12, $D$11, 100%, $F$11)</f>
        <v>33.153399999999998</v>
      </c>
      <c r="D913" s="8">
        <f>CHOOSE( CONTROL!$C$29, 33.176, 33.1717) * CHOOSE( CONTROL!$C$12, $D$11, 100%, $F$11)</f>
        <v>33.176000000000002</v>
      </c>
      <c r="E913" s="12">
        <f>CHOOSE( CONTROL!$C$29, 33.1662, 33.1619) * CHOOSE( CONTROL!$C$12, $D$11, 100%, $F$11)</f>
        <v>33.166200000000003</v>
      </c>
      <c r="F913" s="4">
        <f>CHOOSE( CONTROL!$C$29, 34.1815, 34.1773) * CHOOSE(CONTROL!$C$12, $D$11, 100%, $F$11)</f>
        <v>34.1815</v>
      </c>
      <c r="G913" s="8">
        <f>CHOOSE( CONTROL!$C$29, 32.3129, 32.3087) * CHOOSE( CONTROL!$C$12, $D$11, 100%, $F$11)</f>
        <v>32.312899999999999</v>
      </c>
      <c r="H913" s="4">
        <f>CHOOSE( CONTROL!$C$29, 33.2429, 33.2388) * CHOOSE(CONTROL!$C$12, $D$11, 100%, $F$11)</f>
        <v>33.242899999999999</v>
      </c>
      <c r="I913" s="8">
        <f>CHOOSE( CONTROL!$C$29, 31.8426, 31.8386) * CHOOSE(CONTROL!$C$12, $D$11, 100%, $F$11)</f>
        <v>31.842600000000001</v>
      </c>
      <c r="J913" s="4">
        <f>CHOOSE( CONTROL!$C$29, 31.7528, 31.7488) * CHOOSE(CONTROL!$C$12, $D$11, 100%, $F$11)</f>
        <v>31.752800000000001</v>
      </c>
      <c r="K913" s="4"/>
      <c r="L913" s="9">
        <v>28.568200000000001</v>
      </c>
      <c r="M913" s="9">
        <v>11.6745</v>
      </c>
      <c r="N913" s="9">
        <v>4.7850000000000001</v>
      </c>
      <c r="O913" s="9">
        <v>0.36249999999999999</v>
      </c>
      <c r="P913" s="9">
        <v>1.1798</v>
      </c>
      <c r="Q913" s="9">
        <v>19.053000000000001</v>
      </c>
      <c r="R913" s="9"/>
      <c r="S913" s="11"/>
    </row>
    <row r="914" spans="1:19" ht="15.75">
      <c r="A914" s="13">
        <v>69702</v>
      </c>
      <c r="B914" s="8">
        <f>34.6106 * CHOOSE(CONTROL!$C$12, $D$11, 100%, $F$11)</f>
        <v>34.610599999999998</v>
      </c>
      <c r="C914" s="8">
        <f>34.6211 * CHOOSE(CONTROL!$C$12, $D$11, 100%, $F$11)</f>
        <v>34.621099999999998</v>
      </c>
      <c r="D914" s="8">
        <f>34.6255 * CHOOSE( CONTROL!$C$12, $D$11, 100%, $F$11)</f>
        <v>34.625500000000002</v>
      </c>
      <c r="E914" s="12">
        <f>34.6229 * CHOOSE( CONTROL!$C$12, $D$11, 100%, $F$11)</f>
        <v>34.622900000000001</v>
      </c>
      <c r="F914" s="4">
        <f>35.6179 * CHOOSE(CONTROL!$C$12, $D$11, 100%, $F$11)</f>
        <v>35.617899999999999</v>
      </c>
      <c r="G914" s="8">
        <f>33.7338 * CHOOSE( CONTROL!$C$12, $D$11, 100%, $F$11)</f>
        <v>33.733800000000002</v>
      </c>
      <c r="H914" s="4">
        <f>34.6431 * CHOOSE(CONTROL!$C$12, $D$11, 100%, $F$11)</f>
        <v>34.643099999999997</v>
      </c>
      <c r="I914" s="8">
        <f>33.2463 * CHOOSE(CONTROL!$C$12, $D$11, 100%, $F$11)</f>
        <v>33.246299999999998</v>
      </c>
      <c r="J914" s="4">
        <f>33.1592 * CHOOSE(CONTROL!$C$12, $D$11, 100%, $F$11)</f>
        <v>33.159199999999998</v>
      </c>
      <c r="K914" s="4"/>
      <c r="L914" s="9">
        <v>28.921800000000001</v>
      </c>
      <c r="M914" s="9">
        <v>12.063700000000001</v>
      </c>
      <c r="N914" s="9">
        <v>4.9444999999999997</v>
      </c>
      <c r="O914" s="9">
        <v>0.37459999999999999</v>
      </c>
      <c r="P914" s="9">
        <v>1.2192000000000001</v>
      </c>
      <c r="Q914" s="9">
        <v>19.688099999999999</v>
      </c>
      <c r="R914" s="9"/>
      <c r="S914" s="11"/>
    </row>
    <row r="915" spans="1:19" ht="15.75">
      <c r="A915" s="13">
        <v>69732</v>
      </c>
      <c r="B915" s="8">
        <f>37.3275 * CHOOSE(CONTROL!$C$12, $D$11, 100%, $F$11)</f>
        <v>37.327500000000001</v>
      </c>
      <c r="C915" s="8">
        <f>37.338 * CHOOSE(CONTROL!$C$12, $D$11, 100%, $F$11)</f>
        <v>37.338000000000001</v>
      </c>
      <c r="D915" s="8">
        <f>37.3203 * CHOOSE( CONTROL!$C$12, $D$11, 100%, $F$11)</f>
        <v>37.320300000000003</v>
      </c>
      <c r="E915" s="12">
        <f>37.3257 * CHOOSE( CONTROL!$C$12, $D$11, 100%, $F$11)</f>
        <v>37.325699999999998</v>
      </c>
      <c r="F915" s="4">
        <f>38.3217 * CHOOSE(CONTROL!$C$12, $D$11, 100%, $F$11)</f>
        <v>38.3217</v>
      </c>
      <c r="G915" s="8">
        <f>36.3946 * CHOOSE( CONTROL!$C$12, $D$11, 100%, $F$11)</f>
        <v>36.394599999999997</v>
      </c>
      <c r="H915" s="4">
        <f>37.2787 * CHOOSE(CONTROL!$C$12, $D$11, 100%, $F$11)</f>
        <v>37.278700000000001</v>
      </c>
      <c r="I915" s="8">
        <f>35.8744 * CHOOSE(CONTROL!$C$12, $D$11, 100%, $F$11)</f>
        <v>35.874400000000001</v>
      </c>
      <c r="J915" s="4">
        <f>35.7625 * CHOOSE(CONTROL!$C$12, $D$11, 100%, $F$11)</f>
        <v>35.762500000000003</v>
      </c>
      <c r="K915" s="4"/>
      <c r="L915" s="9">
        <v>26.515499999999999</v>
      </c>
      <c r="M915" s="9">
        <v>11.6745</v>
      </c>
      <c r="N915" s="9">
        <v>4.7850000000000001</v>
      </c>
      <c r="O915" s="9">
        <v>0.36249999999999999</v>
      </c>
      <c r="P915" s="9">
        <v>1.2522</v>
      </c>
      <c r="Q915" s="9">
        <v>19.053000000000001</v>
      </c>
      <c r="R915" s="9"/>
      <c r="S915" s="11"/>
    </row>
    <row r="916" spans="1:19" ht="15.75">
      <c r="A916" s="13">
        <v>69763</v>
      </c>
      <c r="B916" s="8">
        <f>37.2596 * CHOOSE(CONTROL!$C$12, $D$11, 100%, $F$11)</f>
        <v>37.259599999999999</v>
      </c>
      <c r="C916" s="8">
        <f>37.2701 * CHOOSE(CONTROL!$C$12, $D$11, 100%, $F$11)</f>
        <v>37.270099999999999</v>
      </c>
      <c r="D916" s="8">
        <f>37.2545 * CHOOSE( CONTROL!$C$12, $D$11, 100%, $F$11)</f>
        <v>37.2545</v>
      </c>
      <c r="E916" s="12">
        <f>37.2591 * CHOOSE( CONTROL!$C$12, $D$11, 100%, $F$11)</f>
        <v>37.259099999999997</v>
      </c>
      <c r="F916" s="4">
        <f>38.2538 * CHOOSE(CONTROL!$C$12, $D$11, 100%, $F$11)</f>
        <v>38.253799999999998</v>
      </c>
      <c r="G916" s="8">
        <f>36.3299 * CHOOSE( CONTROL!$C$12, $D$11, 100%, $F$11)</f>
        <v>36.329900000000002</v>
      </c>
      <c r="H916" s="4">
        <f>37.2125 * CHOOSE(CONTROL!$C$12, $D$11, 100%, $F$11)</f>
        <v>37.212499999999999</v>
      </c>
      <c r="I916" s="8">
        <f>35.8165 * CHOOSE(CONTROL!$C$12, $D$11, 100%, $F$11)</f>
        <v>35.816499999999998</v>
      </c>
      <c r="J916" s="4">
        <f>35.6974 * CHOOSE(CONTROL!$C$12, $D$11, 100%, $F$11)</f>
        <v>35.697400000000002</v>
      </c>
      <c r="K916" s="4"/>
      <c r="L916" s="9">
        <v>27.3993</v>
      </c>
      <c r="M916" s="9">
        <v>12.063700000000001</v>
      </c>
      <c r="N916" s="9">
        <v>4.9444999999999997</v>
      </c>
      <c r="O916" s="9">
        <v>0.37459999999999999</v>
      </c>
      <c r="P916" s="9">
        <v>1.2939000000000001</v>
      </c>
      <c r="Q916" s="9">
        <v>19.688099999999999</v>
      </c>
      <c r="R916" s="9"/>
      <c r="S916" s="11"/>
    </row>
    <row r="917" spans="1:19" ht="15.75">
      <c r="A917" s="13">
        <v>69794</v>
      </c>
      <c r="B917" s="8">
        <f>38.6835 * CHOOSE(CONTROL!$C$12, $D$11, 100%, $F$11)</f>
        <v>38.683500000000002</v>
      </c>
      <c r="C917" s="8">
        <f>38.6939 * CHOOSE(CONTROL!$C$12, $D$11, 100%, $F$11)</f>
        <v>38.693899999999999</v>
      </c>
      <c r="D917" s="8">
        <f>38.6916 * CHOOSE( CONTROL!$C$12, $D$11, 100%, $F$11)</f>
        <v>38.691600000000001</v>
      </c>
      <c r="E917" s="12">
        <f>38.6913 * CHOOSE( CONTROL!$C$12, $D$11, 100%, $F$11)</f>
        <v>38.691299999999998</v>
      </c>
      <c r="F917" s="4">
        <f>39.7064 * CHOOSE(CONTROL!$C$12, $D$11, 100%, $F$11)</f>
        <v>39.706400000000002</v>
      </c>
      <c r="G917" s="8">
        <f>37.735 * CHOOSE( CONTROL!$C$12, $D$11, 100%, $F$11)</f>
        <v>37.734999999999999</v>
      </c>
      <c r="H917" s="4">
        <f>38.6284 * CHOOSE(CONTROL!$C$12, $D$11, 100%, $F$11)</f>
        <v>38.628399999999999</v>
      </c>
      <c r="I917" s="8">
        <f>37.1889 * CHOOSE(CONTROL!$C$12, $D$11, 100%, $F$11)</f>
        <v>37.188899999999997</v>
      </c>
      <c r="J917" s="4">
        <f>37.0618 * CHOOSE(CONTROL!$C$12, $D$11, 100%, $F$11)</f>
        <v>37.061799999999998</v>
      </c>
      <c r="K917" s="4"/>
      <c r="L917" s="9">
        <v>27.3993</v>
      </c>
      <c r="M917" s="9">
        <v>12.063700000000001</v>
      </c>
      <c r="N917" s="9">
        <v>4.9444999999999997</v>
      </c>
      <c r="O917" s="9">
        <v>0.37459999999999999</v>
      </c>
      <c r="P917" s="9">
        <v>1.2939000000000001</v>
      </c>
      <c r="Q917" s="9">
        <v>19.688099999999999</v>
      </c>
      <c r="R917" s="9"/>
      <c r="S917" s="11"/>
    </row>
    <row r="918" spans="1:19" ht="15.75">
      <c r="A918" s="13">
        <v>69822</v>
      </c>
      <c r="B918" s="8">
        <f>36.183 * CHOOSE(CONTROL!$C$12, $D$11, 100%, $F$11)</f>
        <v>36.183</v>
      </c>
      <c r="C918" s="8">
        <f>36.1934 * CHOOSE(CONTROL!$C$12, $D$11, 100%, $F$11)</f>
        <v>36.193399999999997</v>
      </c>
      <c r="D918" s="8">
        <f>36.1934 * CHOOSE( CONTROL!$C$12, $D$11, 100%, $F$11)</f>
        <v>36.193399999999997</v>
      </c>
      <c r="E918" s="12">
        <f>36.1923 * CHOOSE( CONTROL!$C$12, $D$11, 100%, $F$11)</f>
        <v>36.192300000000003</v>
      </c>
      <c r="F918" s="4">
        <f>37.1981 * CHOOSE(CONTROL!$C$12, $D$11, 100%, $F$11)</f>
        <v>37.198099999999997</v>
      </c>
      <c r="G918" s="8">
        <f>35.2975 * CHOOSE( CONTROL!$C$12, $D$11, 100%, $F$11)</f>
        <v>35.297499999999999</v>
      </c>
      <c r="H918" s="4">
        <f>36.1834 * CHOOSE(CONTROL!$C$12, $D$11, 100%, $F$11)</f>
        <v>36.183399999999999</v>
      </c>
      <c r="I918" s="8">
        <f>34.7808 * CHOOSE(CONTROL!$C$12, $D$11, 100%, $F$11)</f>
        <v>34.780799999999999</v>
      </c>
      <c r="J918" s="4">
        <f>34.6658 * CHOOSE(CONTROL!$C$12, $D$11, 100%, $F$11)</f>
        <v>34.665799999999997</v>
      </c>
      <c r="K918" s="4"/>
      <c r="L918" s="9">
        <v>24.747800000000002</v>
      </c>
      <c r="M918" s="9">
        <v>10.8962</v>
      </c>
      <c r="N918" s="9">
        <v>4.4660000000000002</v>
      </c>
      <c r="O918" s="9">
        <v>0.33829999999999999</v>
      </c>
      <c r="P918" s="9">
        <v>1.1687000000000001</v>
      </c>
      <c r="Q918" s="9">
        <v>17.782800000000002</v>
      </c>
      <c r="R918" s="9"/>
      <c r="S918" s="11"/>
    </row>
    <row r="919" spans="1:19" ht="15.75">
      <c r="A919" s="13">
        <v>69853</v>
      </c>
      <c r="B919" s="8">
        <f>35.4128 * CHOOSE(CONTROL!$C$12, $D$11, 100%, $F$11)</f>
        <v>35.412799999999997</v>
      </c>
      <c r="C919" s="8">
        <f>35.4233 * CHOOSE(CONTROL!$C$12, $D$11, 100%, $F$11)</f>
        <v>35.423299999999998</v>
      </c>
      <c r="D919" s="8">
        <f>35.4031 * CHOOSE( CONTROL!$C$12, $D$11, 100%, $F$11)</f>
        <v>35.403100000000002</v>
      </c>
      <c r="E919" s="12">
        <f>35.4094 * CHOOSE( CONTROL!$C$12, $D$11, 100%, $F$11)</f>
        <v>35.409399999999998</v>
      </c>
      <c r="F919" s="4">
        <f>36.4117 * CHOOSE(CONTROL!$C$12, $D$11, 100%, $F$11)</f>
        <v>36.411700000000003</v>
      </c>
      <c r="G919" s="8">
        <f>34.5263 * CHOOSE( CONTROL!$C$12, $D$11, 100%, $F$11)</f>
        <v>34.526299999999999</v>
      </c>
      <c r="H919" s="4">
        <f>35.4169 * CHOOSE(CONTROL!$C$12, $D$11, 100%, $F$11)</f>
        <v>35.416899999999998</v>
      </c>
      <c r="I919" s="8">
        <f>34.0029 * CHOOSE(CONTROL!$C$12, $D$11, 100%, $F$11)</f>
        <v>34.002899999999997</v>
      </c>
      <c r="J919" s="4">
        <f>33.9278 * CHOOSE(CONTROL!$C$12, $D$11, 100%, $F$11)</f>
        <v>33.927799999999998</v>
      </c>
      <c r="K919" s="4"/>
      <c r="L919" s="9">
        <v>27.3993</v>
      </c>
      <c r="M919" s="9">
        <v>12.063700000000001</v>
      </c>
      <c r="N919" s="9">
        <v>4.9444999999999997</v>
      </c>
      <c r="O919" s="9">
        <v>0.37459999999999999</v>
      </c>
      <c r="P919" s="9">
        <v>1.2939000000000001</v>
      </c>
      <c r="Q919" s="9">
        <v>19.688099999999999</v>
      </c>
      <c r="R919" s="9"/>
      <c r="S919" s="11"/>
    </row>
    <row r="920" spans="1:19" ht="15.75">
      <c r="A920" s="13">
        <v>69883</v>
      </c>
      <c r="B920" s="8">
        <f>35.951 * CHOOSE(CONTROL!$C$12, $D$11, 100%, $F$11)</f>
        <v>35.951000000000001</v>
      </c>
      <c r="C920" s="8">
        <f>35.9614 * CHOOSE(CONTROL!$C$12, $D$11, 100%, $F$11)</f>
        <v>35.961399999999998</v>
      </c>
      <c r="D920" s="8">
        <f>35.9646 * CHOOSE( CONTROL!$C$12, $D$11, 100%, $F$11)</f>
        <v>35.964599999999997</v>
      </c>
      <c r="E920" s="12">
        <f>35.9624 * CHOOSE( CONTROL!$C$12, $D$11, 100%, $F$11)</f>
        <v>35.962400000000002</v>
      </c>
      <c r="F920" s="4">
        <f>36.9583 * CHOOSE(CONTROL!$C$12, $D$11, 100%, $F$11)</f>
        <v>36.958300000000001</v>
      </c>
      <c r="G920" s="8">
        <f>35.0387 * CHOOSE( CONTROL!$C$12, $D$11, 100%, $F$11)</f>
        <v>35.038699999999999</v>
      </c>
      <c r="H920" s="4">
        <f>35.9496 * CHOOSE(CONTROL!$C$12, $D$11, 100%, $F$11)</f>
        <v>35.949599999999997</v>
      </c>
      <c r="I920" s="8">
        <f>34.509 * CHOOSE(CONTROL!$C$12, $D$11, 100%, $F$11)</f>
        <v>34.509</v>
      </c>
      <c r="J920" s="4">
        <f>34.4435 * CHOOSE(CONTROL!$C$12, $D$11, 100%, $F$11)</f>
        <v>34.4435</v>
      </c>
      <c r="K920" s="4"/>
      <c r="L920" s="9">
        <v>27.988800000000001</v>
      </c>
      <c r="M920" s="9">
        <v>11.6745</v>
      </c>
      <c r="N920" s="9">
        <v>4.7850000000000001</v>
      </c>
      <c r="O920" s="9">
        <v>0.36249999999999999</v>
      </c>
      <c r="P920" s="9">
        <v>1.1798</v>
      </c>
      <c r="Q920" s="9">
        <v>19.053000000000001</v>
      </c>
      <c r="R920" s="9"/>
      <c r="S920" s="11"/>
    </row>
    <row r="921" spans="1:19" ht="15.75">
      <c r="A921" s="13">
        <v>69914</v>
      </c>
      <c r="B921" s="8">
        <f>CHOOSE( CONTROL!$C$29, 36.913, 36.9088) * CHOOSE(CONTROL!$C$12, $D$11, 100%, $F$11)</f>
        <v>36.912999999999997</v>
      </c>
      <c r="C921" s="8">
        <f>CHOOSE( CONTROL!$C$29, 36.9235, 36.9192) * CHOOSE(CONTROL!$C$12, $D$11, 100%, $F$11)</f>
        <v>36.923499999999997</v>
      </c>
      <c r="D921" s="8">
        <f>CHOOSE( CONTROL!$C$29, 36.9014, 36.8972) * CHOOSE( CONTROL!$C$12, $D$11, 100%, $F$11)</f>
        <v>36.901400000000002</v>
      </c>
      <c r="E921" s="12">
        <f>CHOOSE( CONTROL!$C$29, 36.9078, 36.9036) * CHOOSE( CONTROL!$C$12, $D$11, 100%, $F$11)</f>
        <v>36.907800000000002</v>
      </c>
      <c r="F921" s="4">
        <f>CHOOSE( CONTROL!$C$29, 37.8879, 37.8837) * CHOOSE(CONTROL!$C$12, $D$11, 100%, $F$11)</f>
        <v>37.887900000000002</v>
      </c>
      <c r="G921" s="8">
        <f>CHOOSE( CONTROL!$C$29, 35.9577, 35.9536) * CHOOSE( CONTROL!$C$12, $D$11, 100%, $F$11)</f>
        <v>35.957700000000003</v>
      </c>
      <c r="H921" s="4">
        <f>CHOOSE( CONTROL!$C$29, 36.8558, 36.8517) * CHOOSE(CONTROL!$C$12, $D$11, 100%, $F$11)</f>
        <v>36.855800000000002</v>
      </c>
      <c r="I921" s="8">
        <f>CHOOSE( CONTROL!$C$29, 35.4097, 35.4056) * CHOOSE(CONTROL!$C$12, $D$11, 100%, $F$11)</f>
        <v>35.409700000000001</v>
      </c>
      <c r="J921" s="4">
        <f>CHOOSE( CONTROL!$C$29, 35.3653, 35.3613) * CHOOSE(CONTROL!$C$12, $D$11, 100%, $F$11)</f>
        <v>35.365299999999998</v>
      </c>
      <c r="K921" s="4"/>
      <c r="L921" s="9">
        <v>29.520499999999998</v>
      </c>
      <c r="M921" s="9">
        <v>12.063700000000001</v>
      </c>
      <c r="N921" s="9">
        <v>4.9444999999999997</v>
      </c>
      <c r="O921" s="9">
        <v>0.37459999999999999</v>
      </c>
      <c r="P921" s="9">
        <v>1.2192000000000001</v>
      </c>
      <c r="Q921" s="9">
        <v>19.688099999999999</v>
      </c>
      <c r="R921" s="9"/>
      <c r="S921" s="11"/>
    </row>
    <row r="922" spans="1:19" ht="15.75">
      <c r="A922" s="13">
        <v>69944</v>
      </c>
      <c r="B922" s="8">
        <f>CHOOSE( CONTROL!$C$29, 36.3197, 36.3155) * CHOOSE(CONTROL!$C$12, $D$11, 100%, $F$11)</f>
        <v>36.319699999999997</v>
      </c>
      <c r="C922" s="8">
        <f>CHOOSE( CONTROL!$C$29, 36.3302, 36.3259) * CHOOSE(CONTROL!$C$12, $D$11, 100%, $F$11)</f>
        <v>36.330199999999998</v>
      </c>
      <c r="D922" s="8">
        <f>CHOOSE( CONTROL!$C$29, 36.3025, 36.2982) * CHOOSE( CONTROL!$C$12, $D$11, 100%, $F$11)</f>
        <v>36.302500000000002</v>
      </c>
      <c r="E922" s="12">
        <f>CHOOSE( CONTROL!$C$29, 36.3109, 36.3067) * CHOOSE( CONTROL!$C$12, $D$11, 100%, $F$11)</f>
        <v>36.310899999999997</v>
      </c>
      <c r="F922" s="4">
        <f>CHOOSE( CONTROL!$C$29, 37.2842, 37.2799) * CHOOSE(CONTROL!$C$12, $D$11, 100%, $F$11)</f>
        <v>37.284199999999998</v>
      </c>
      <c r="G922" s="8">
        <f>CHOOSE( CONTROL!$C$29, 35.3781, 35.374) * CHOOSE( CONTROL!$C$12, $D$11, 100%, $F$11)</f>
        <v>35.378100000000003</v>
      </c>
      <c r="H922" s="4">
        <f>CHOOSE( CONTROL!$C$29, 36.2673, 36.2632) * CHOOSE(CONTROL!$C$12, $D$11, 100%, $F$11)</f>
        <v>36.267299999999999</v>
      </c>
      <c r="I922" s="8">
        <f>CHOOSE( CONTROL!$C$29, 34.8431, 34.839) * CHOOSE(CONTROL!$C$12, $D$11, 100%, $F$11)</f>
        <v>34.8431</v>
      </c>
      <c r="J922" s="4">
        <f>CHOOSE( CONTROL!$C$29, 34.7968, 34.7927) * CHOOSE(CONTROL!$C$12, $D$11, 100%, $F$11)</f>
        <v>34.796799999999998</v>
      </c>
      <c r="K922" s="4"/>
      <c r="L922" s="9">
        <v>28.568200000000001</v>
      </c>
      <c r="M922" s="9">
        <v>11.6745</v>
      </c>
      <c r="N922" s="9">
        <v>4.7850000000000001</v>
      </c>
      <c r="O922" s="9">
        <v>0.36249999999999999</v>
      </c>
      <c r="P922" s="9">
        <v>1.1798</v>
      </c>
      <c r="Q922" s="9">
        <v>19.053000000000001</v>
      </c>
      <c r="R922" s="9"/>
      <c r="S922" s="11"/>
    </row>
    <row r="923" spans="1:19" ht="15.75">
      <c r="A923" s="13">
        <v>69975</v>
      </c>
      <c r="B923" s="8">
        <f>CHOOSE( CONTROL!$C$29, 37.8822, 37.8779) * CHOOSE(CONTROL!$C$12, $D$11, 100%, $F$11)</f>
        <v>37.882199999999997</v>
      </c>
      <c r="C923" s="8">
        <f>CHOOSE( CONTROL!$C$29, 37.8926, 37.8884) * CHOOSE(CONTROL!$C$12, $D$11, 100%, $F$11)</f>
        <v>37.892600000000002</v>
      </c>
      <c r="D923" s="8">
        <f>CHOOSE( CONTROL!$C$29, 37.8987, 37.8945) * CHOOSE( CONTROL!$C$12, $D$11, 100%, $F$11)</f>
        <v>37.898699999999998</v>
      </c>
      <c r="E923" s="12">
        <f>CHOOSE( CONTROL!$C$29, 37.8949, 37.8907) * CHOOSE( CONTROL!$C$12, $D$11, 100%, $F$11)</f>
        <v>37.8949</v>
      </c>
      <c r="F923" s="4">
        <f>CHOOSE( CONTROL!$C$29, 38.892, 38.8878) * CHOOSE(CONTROL!$C$12, $D$11, 100%, $F$11)</f>
        <v>38.892000000000003</v>
      </c>
      <c r="G923" s="8">
        <f>CHOOSE( CONTROL!$C$29, 36.9272, 36.9231) * CHOOSE( CONTROL!$C$12, $D$11, 100%, $F$11)</f>
        <v>36.927199999999999</v>
      </c>
      <c r="H923" s="4">
        <f>CHOOSE( CONTROL!$C$29, 37.8346, 37.8305) * CHOOSE(CONTROL!$C$12, $D$11, 100%, $F$11)</f>
        <v>37.834600000000002</v>
      </c>
      <c r="I923" s="8">
        <f>CHOOSE( CONTROL!$C$29, 36.3962, 36.3922) * CHOOSE(CONTROL!$C$12, $D$11, 100%, $F$11)</f>
        <v>36.3962</v>
      </c>
      <c r="J923" s="4">
        <f>CHOOSE( CONTROL!$C$29, 36.2939, 36.2899) * CHOOSE(CONTROL!$C$12, $D$11, 100%, $F$11)</f>
        <v>36.293900000000001</v>
      </c>
      <c r="K923" s="4"/>
      <c r="L923" s="9">
        <v>29.520499999999998</v>
      </c>
      <c r="M923" s="9">
        <v>12.063700000000001</v>
      </c>
      <c r="N923" s="9">
        <v>4.9444999999999997</v>
      </c>
      <c r="O923" s="9">
        <v>0.37459999999999999</v>
      </c>
      <c r="P923" s="9">
        <v>1.2192000000000001</v>
      </c>
      <c r="Q923" s="9">
        <v>19.688099999999999</v>
      </c>
      <c r="R923" s="9"/>
      <c r="S923" s="11"/>
    </row>
    <row r="924" spans="1:19" ht="15.75">
      <c r="A924" s="13">
        <v>70006</v>
      </c>
      <c r="B924" s="8">
        <f>CHOOSE( CONTROL!$C$29, 34.9587, 34.9544) * CHOOSE(CONTROL!$C$12, $D$11, 100%, $F$11)</f>
        <v>34.9587</v>
      </c>
      <c r="C924" s="8">
        <f>CHOOSE( CONTROL!$C$29, 34.9691, 34.9648) * CHOOSE(CONTROL!$C$12, $D$11, 100%, $F$11)</f>
        <v>34.969099999999997</v>
      </c>
      <c r="D924" s="8">
        <f>CHOOSE( CONTROL!$C$29, 34.9917, 34.9874) * CHOOSE( CONTROL!$C$12, $D$11, 100%, $F$11)</f>
        <v>34.991700000000002</v>
      </c>
      <c r="E924" s="12">
        <f>CHOOSE( CONTROL!$C$29, 34.9819, 34.9776) * CHOOSE( CONTROL!$C$12, $D$11, 100%, $F$11)</f>
        <v>34.981900000000003</v>
      </c>
      <c r="F924" s="4">
        <f>CHOOSE( CONTROL!$C$29, 35.9972, 35.993) * CHOOSE(CONTROL!$C$12, $D$11, 100%, $F$11)</f>
        <v>35.997199999999999</v>
      </c>
      <c r="G924" s="8">
        <f>CHOOSE( CONTROL!$C$29, 34.083, 34.0789) * CHOOSE( CONTROL!$C$12, $D$11, 100%, $F$11)</f>
        <v>34.082999999999998</v>
      </c>
      <c r="H924" s="4">
        <f>CHOOSE( CONTROL!$C$29, 35.0128, 35.0087) * CHOOSE(CONTROL!$C$12, $D$11, 100%, $F$11)</f>
        <v>35.012799999999999</v>
      </c>
      <c r="I924" s="8">
        <f>CHOOSE( CONTROL!$C$29, 33.585, 33.5809) * CHOOSE(CONTROL!$C$12, $D$11, 100%, $F$11)</f>
        <v>33.585000000000001</v>
      </c>
      <c r="J924" s="4">
        <f>CHOOSE( CONTROL!$C$29, 33.4926, 33.4886) * CHOOSE(CONTROL!$C$12, $D$11, 100%, $F$11)</f>
        <v>33.492600000000003</v>
      </c>
      <c r="K924" s="4"/>
      <c r="L924" s="9">
        <v>29.520499999999998</v>
      </c>
      <c r="M924" s="9">
        <v>12.063700000000001</v>
      </c>
      <c r="N924" s="9">
        <v>4.9444999999999997</v>
      </c>
      <c r="O924" s="9">
        <v>0.37459999999999999</v>
      </c>
      <c r="P924" s="9">
        <v>1.2192000000000001</v>
      </c>
      <c r="Q924" s="9">
        <v>19.688099999999999</v>
      </c>
      <c r="R924" s="9"/>
      <c r="S924" s="11"/>
    </row>
    <row r="925" spans="1:19" ht="15.75">
      <c r="A925" s="13">
        <v>70036</v>
      </c>
      <c r="B925" s="8">
        <f>CHOOSE( CONTROL!$C$29, 34.2266, 34.2223) * CHOOSE(CONTROL!$C$12, $D$11, 100%, $F$11)</f>
        <v>34.226599999999998</v>
      </c>
      <c r="C925" s="8">
        <f>CHOOSE( CONTROL!$C$29, 34.237, 34.2328) * CHOOSE(CONTROL!$C$12, $D$11, 100%, $F$11)</f>
        <v>34.237000000000002</v>
      </c>
      <c r="D925" s="8">
        <f>CHOOSE( CONTROL!$C$29, 34.2596, 34.2553) * CHOOSE( CONTROL!$C$12, $D$11, 100%, $F$11)</f>
        <v>34.259599999999999</v>
      </c>
      <c r="E925" s="12">
        <f>CHOOSE( CONTROL!$C$29, 34.2498, 34.2455) * CHOOSE( CONTROL!$C$12, $D$11, 100%, $F$11)</f>
        <v>34.2498</v>
      </c>
      <c r="F925" s="4">
        <f>CHOOSE( CONTROL!$C$29, 35.2651, 35.2609) * CHOOSE(CONTROL!$C$12, $D$11, 100%, $F$11)</f>
        <v>35.265099999999997</v>
      </c>
      <c r="G925" s="8">
        <f>CHOOSE( CONTROL!$C$29, 33.3691, 33.365) * CHOOSE( CONTROL!$C$12, $D$11, 100%, $F$11)</f>
        <v>33.369100000000003</v>
      </c>
      <c r="H925" s="4">
        <f>CHOOSE( CONTROL!$C$29, 34.2992, 34.2951) * CHOOSE(CONTROL!$C$12, $D$11, 100%, $F$11)</f>
        <v>34.299199999999999</v>
      </c>
      <c r="I925" s="8">
        <f>CHOOSE( CONTROL!$C$29, 32.8815, 32.8774) * CHOOSE(CONTROL!$C$12, $D$11, 100%, $F$11)</f>
        <v>32.881500000000003</v>
      </c>
      <c r="J925" s="4">
        <f>CHOOSE( CONTROL!$C$29, 32.7911, 32.7871) * CHOOSE(CONTROL!$C$12, $D$11, 100%, $F$11)</f>
        <v>32.7911</v>
      </c>
      <c r="K925" s="4"/>
      <c r="L925" s="9">
        <v>28.568200000000001</v>
      </c>
      <c r="M925" s="9">
        <v>11.6745</v>
      </c>
      <c r="N925" s="9">
        <v>4.7850000000000001</v>
      </c>
      <c r="O925" s="9">
        <v>0.36249999999999999</v>
      </c>
      <c r="P925" s="9">
        <v>1.1798</v>
      </c>
      <c r="Q925" s="9">
        <v>19.053000000000001</v>
      </c>
      <c r="R925" s="9"/>
      <c r="S925" s="11"/>
    </row>
    <row r="926" spans="1:19" ht="15.75">
      <c r="A926" s="13">
        <v>70067</v>
      </c>
      <c r="B926" s="8">
        <f>35.7424 * CHOOSE(CONTROL!$C$12, $D$11, 100%, $F$11)</f>
        <v>35.742400000000004</v>
      </c>
      <c r="C926" s="8">
        <f>35.7528 * CHOOSE(CONTROL!$C$12, $D$11, 100%, $F$11)</f>
        <v>35.752800000000001</v>
      </c>
      <c r="D926" s="8">
        <f>35.7572 * CHOOSE( CONTROL!$C$12, $D$11, 100%, $F$11)</f>
        <v>35.757199999999997</v>
      </c>
      <c r="E926" s="12">
        <f>35.7546 * CHOOSE( CONTROL!$C$12, $D$11, 100%, $F$11)</f>
        <v>35.754600000000003</v>
      </c>
      <c r="F926" s="4">
        <f>36.7496 * CHOOSE(CONTROL!$C$12, $D$11, 100%, $F$11)</f>
        <v>36.749600000000001</v>
      </c>
      <c r="G926" s="8">
        <f>34.837 * CHOOSE( CONTROL!$C$12, $D$11, 100%, $F$11)</f>
        <v>34.837000000000003</v>
      </c>
      <c r="H926" s="4">
        <f>35.7462 * CHOOSE(CONTROL!$C$12, $D$11, 100%, $F$11)</f>
        <v>35.746200000000002</v>
      </c>
      <c r="I926" s="8">
        <f>34.3313 * CHOOSE(CONTROL!$C$12, $D$11, 100%, $F$11)</f>
        <v>34.331299999999999</v>
      </c>
      <c r="J926" s="4">
        <f>34.2436 * CHOOSE(CONTROL!$C$12, $D$11, 100%, $F$11)</f>
        <v>34.243600000000001</v>
      </c>
      <c r="K926" s="4"/>
      <c r="L926" s="9">
        <v>28.921800000000001</v>
      </c>
      <c r="M926" s="9">
        <v>12.063700000000001</v>
      </c>
      <c r="N926" s="9">
        <v>4.9444999999999997</v>
      </c>
      <c r="O926" s="9">
        <v>0.37459999999999999</v>
      </c>
      <c r="P926" s="9">
        <v>1.2192000000000001</v>
      </c>
      <c r="Q926" s="9">
        <v>19.688099999999999</v>
      </c>
      <c r="R926" s="9"/>
      <c r="S926" s="11"/>
    </row>
    <row r="927" spans="1:19" ht="15.75">
      <c r="A927" s="13">
        <v>70097</v>
      </c>
      <c r="B927" s="8">
        <f>38.5481 * CHOOSE(CONTROL!$C$12, $D$11, 100%, $F$11)</f>
        <v>38.548099999999998</v>
      </c>
      <c r="C927" s="8">
        <f>38.5585 * CHOOSE(CONTROL!$C$12, $D$11, 100%, $F$11)</f>
        <v>38.558500000000002</v>
      </c>
      <c r="D927" s="8">
        <f>38.5409 * CHOOSE( CONTROL!$C$12, $D$11, 100%, $F$11)</f>
        <v>38.540900000000001</v>
      </c>
      <c r="E927" s="12">
        <f>38.5462 * CHOOSE( CONTROL!$C$12, $D$11, 100%, $F$11)</f>
        <v>38.546199999999999</v>
      </c>
      <c r="F927" s="4">
        <f>39.5423 * CHOOSE(CONTROL!$C$12, $D$11, 100%, $F$11)</f>
        <v>39.542299999999997</v>
      </c>
      <c r="G927" s="8">
        <f>37.5844 * CHOOSE( CONTROL!$C$12, $D$11, 100%, $F$11)</f>
        <v>37.584400000000002</v>
      </c>
      <c r="H927" s="4">
        <f>38.4685 * CHOOSE(CONTROL!$C$12, $D$11, 100%, $F$11)</f>
        <v>38.468499999999999</v>
      </c>
      <c r="I927" s="8">
        <f>37.0445 * CHOOSE(CONTROL!$C$12, $D$11, 100%, $F$11)</f>
        <v>37.044499999999999</v>
      </c>
      <c r="J927" s="4">
        <f>36.932 * CHOOSE(CONTROL!$C$12, $D$11, 100%, $F$11)</f>
        <v>36.932000000000002</v>
      </c>
      <c r="K927" s="4"/>
      <c r="L927" s="9">
        <v>26.515499999999999</v>
      </c>
      <c r="M927" s="9">
        <v>11.6745</v>
      </c>
      <c r="N927" s="9">
        <v>4.7850000000000001</v>
      </c>
      <c r="O927" s="9">
        <v>0.36249999999999999</v>
      </c>
      <c r="P927" s="9">
        <v>1.2522</v>
      </c>
      <c r="Q927" s="9">
        <v>19.053000000000001</v>
      </c>
      <c r="R927" s="9"/>
      <c r="S927" s="11"/>
    </row>
    <row r="928" spans="1:19" ht="15.75">
      <c r="A928" s="13">
        <v>70128</v>
      </c>
      <c r="B928" s="8">
        <f>38.478 * CHOOSE(CONTROL!$C$12, $D$11, 100%, $F$11)</f>
        <v>38.478000000000002</v>
      </c>
      <c r="C928" s="8">
        <f>38.4884 * CHOOSE(CONTROL!$C$12, $D$11, 100%, $F$11)</f>
        <v>38.488399999999999</v>
      </c>
      <c r="D928" s="8">
        <f>38.4728 * CHOOSE( CONTROL!$C$12, $D$11, 100%, $F$11)</f>
        <v>38.472799999999999</v>
      </c>
      <c r="E928" s="12">
        <f>38.4774 * CHOOSE( CONTROL!$C$12, $D$11, 100%, $F$11)</f>
        <v>38.477400000000003</v>
      </c>
      <c r="F928" s="4">
        <f>39.4722 * CHOOSE(CONTROL!$C$12, $D$11, 100%, $F$11)</f>
        <v>39.472200000000001</v>
      </c>
      <c r="G928" s="8">
        <f>37.5176 * CHOOSE( CONTROL!$C$12, $D$11, 100%, $F$11)</f>
        <v>37.517600000000002</v>
      </c>
      <c r="H928" s="4">
        <f>38.4001 * CHOOSE(CONTROL!$C$12, $D$11, 100%, $F$11)</f>
        <v>38.400100000000002</v>
      </c>
      <c r="I928" s="8">
        <f>36.9845 * CHOOSE(CONTROL!$C$12, $D$11, 100%, $F$11)</f>
        <v>36.984499999999997</v>
      </c>
      <c r="J928" s="4">
        <f>36.8649 * CHOOSE(CONTROL!$C$12, $D$11, 100%, $F$11)</f>
        <v>36.864899999999999</v>
      </c>
      <c r="K928" s="4"/>
      <c r="L928" s="9">
        <v>27.3993</v>
      </c>
      <c r="M928" s="9">
        <v>12.063700000000001</v>
      </c>
      <c r="N928" s="9">
        <v>4.9444999999999997</v>
      </c>
      <c r="O928" s="9">
        <v>0.37459999999999999</v>
      </c>
      <c r="P928" s="9">
        <v>1.2939000000000001</v>
      </c>
      <c r="Q928" s="9">
        <v>19.688099999999999</v>
      </c>
      <c r="R928" s="9"/>
      <c r="S928" s="11"/>
    </row>
    <row r="929" spans="1:19" ht="15.75">
      <c r="A929" s="13">
        <v>70159</v>
      </c>
      <c r="B929" s="8">
        <f>39.9484 * CHOOSE(CONTROL!$C$12, $D$11, 100%, $F$11)</f>
        <v>39.948399999999999</v>
      </c>
      <c r="C929" s="8">
        <f>39.9589 * CHOOSE(CONTROL!$C$12, $D$11, 100%, $F$11)</f>
        <v>39.9589</v>
      </c>
      <c r="D929" s="8">
        <f>39.9565 * CHOOSE( CONTROL!$C$12, $D$11, 100%, $F$11)</f>
        <v>39.956499999999998</v>
      </c>
      <c r="E929" s="12">
        <f>39.9563 * CHOOSE( CONTROL!$C$12, $D$11, 100%, $F$11)</f>
        <v>39.956299999999999</v>
      </c>
      <c r="F929" s="4">
        <f>40.9713 * CHOOSE(CONTROL!$C$12, $D$11, 100%, $F$11)</f>
        <v>40.971299999999999</v>
      </c>
      <c r="G929" s="8">
        <f>38.9681 * CHOOSE( CONTROL!$C$12, $D$11, 100%, $F$11)</f>
        <v>38.9681</v>
      </c>
      <c r="H929" s="4">
        <f>39.8614 * CHOOSE(CONTROL!$C$12, $D$11, 100%, $F$11)</f>
        <v>39.861400000000003</v>
      </c>
      <c r="I929" s="8">
        <f>38.4015 * CHOOSE(CONTROL!$C$12, $D$11, 100%, $F$11)</f>
        <v>38.401499999999999</v>
      </c>
      <c r="J929" s="4">
        <f>38.2738 * CHOOSE(CONTROL!$C$12, $D$11, 100%, $F$11)</f>
        <v>38.273800000000001</v>
      </c>
      <c r="K929" s="4"/>
      <c r="L929" s="9">
        <v>27.3993</v>
      </c>
      <c r="M929" s="9">
        <v>12.063700000000001</v>
      </c>
      <c r="N929" s="9">
        <v>4.9444999999999997</v>
      </c>
      <c r="O929" s="9">
        <v>0.37459999999999999</v>
      </c>
      <c r="P929" s="9">
        <v>1.2939000000000001</v>
      </c>
      <c r="Q929" s="9">
        <v>19.688099999999999</v>
      </c>
      <c r="R929" s="9"/>
      <c r="S929" s="11"/>
    </row>
    <row r="930" spans="1:19" ht="15.75">
      <c r="A930" s="13">
        <v>70188</v>
      </c>
      <c r="B930" s="8">
        <f>37.3661 * CHOOSE(CONTROL!$C$12, $D$11, 100%, $F$11)</f>
        <v>37.366100000000003</v>
      </c>
      <c r="C930" s="8">
        <f>37.3766 * CHOOSE(CONTROL!$C$12, $D$11, 100%, $F$11)</f>
        <v>37.376600000000003</v>
      </c>
      <c r="D930" s="8">
        <f>37.3765 * CHOOSE( CONTROL!$C$12, $D$11, 100%, $F$11)</f>
        <v>37.3765</v>
      </c>
      <c r="E930" s="12">
        <f>37.3754 * CHOOSE( CONTROL!$C$12, $D$11, 100%, $F$11)</f>
        <v>37.375399999999999</v>
      </c>
      <c r="F930" s="4">
        <f>38.3812 * CHOOSE(CONTROL!$C$12, $D$11, 100%, $F$11)</f>
        <v>38.3812</v>
      </c>
      <c r="G930" s="8">
        <f>36.4508 * CHOOSE( CONTROL!$C$12, $D$11, 100%, $F$11)</f>
        <v>36.450800000000001</v>
      </c>
      <c r="H930" s="4">
        <f>37.3367 * CHOOSE(CONTROL!$C$12, $D$11, 100%, $F$11)</f>
        <v>37.3367</v>
      </c>
      <c r="I930" s="8">
        <f>35.915 * CHOOSE(CONTROL!$C$12, $D$11, 100%, $F$11)</f>
        <v>35.914999999999999</v>
      </c>
      <c r="J930" s="4">
        <f>35.7995 * CHOOSE(CONTROL!$C$12, $D$11, 100%, $F$11)</f>
        <v>35.799500000000002</v>
      </c>
      <c r="K930" s="4"/>
      <c r="L930" s="9">
        <v>25.631599999999999</v>
      </c>
      <c r="M930" s="9">
        <v>11.285299999999999</v>
      </c>
      <c r="N930" s="9">
        <v>4.6254999999999997</v>
      </c>
      <c r="O930" s="9">
        <v>0.35039999999999999</v>
      </c>
      <c r="P930" s="9">
        <v>1.2104999999999999</v>
      </c>
      <c r="Q930" s="9">
        <v>18.417899999999999</v>
      </c>
      <c r="R930" s="9"/>
      <c r="S930" s="11"/>
    </row>
    <row r="931" spans="1:19" ht="15.75">
      <c r="A931" s="13">
        <v>70219</v>
      </c>
      <c r="B931" s="8">
        <f>36.5708 * CHOOSE(CONTROL!$C$12, $D$11, 100%, $F$11)</f>
        <v>36.570799999999998</v>
      </c>
      <c r="C931" s="8">
        <f>36.5812 * CHOOSE(CONTROL!$C$12, $D$11, 100%, $F$11)</f>
        <v>36.581200000000003</v>
      </c>
      <c r="D931" s="8">
        <f>36.5611 * CHOOSE( CONTROL!$C$12, $D$11, 100%, $F$11)</f>
        <v>36.561100000000003</v>
      </c>
      <c r="E931" s="12">
        <f>36.5673 * CHOOSE( CONTROL!$C$12, $D$11, 100%, $F$11)</f>
        <v>36.567300000000003</v>
      </c>
      <c r="F931" s="4">
        <f>37.5697 * CHOOSE(CONTROL!$C$12, $D$11, 100%, $F$11)</f>
        <v>37.569699999999997</v>
      </c>
      <c r="G931" s="8">
        <f>35.655 * CHOOSE( CONTROL!$C$12, $D$11, 100%, $F$11)</f>
        <v>35.655000000000001</v>
      </c>
      <c r="H931" s="4">
        <f>36.5456 * CHOOSE(CONTROL!$C$12, $D$11, 100%, $F$11)</f>
        <v>36.5456</v>
      </c>
      <c r="I931" s="8">
        <f>35.1131 * CHOOSE(CONTROL!$C$12, $D$11, 100%, $F$11)</f>
        <v>35.113100000000003</v>
      </c>
      <c r="J931" s="4">
        <f>35.0374 * CHOOSE(CONTROL!$C$12, $D$11, 100%, $F$11)</f>
        <v>35.037399999999998</v>
      </c>
      <c r="K931" s="4"/>
      <c r="L931" s="9">
        <v>27.3993</v>
      </c>
      <c r="M931" s="9">
        <v>12.063700000000001</v>
      </c>
      <c r="N931" s="9">
        <v>4.9444999999999997</v>
      </c>
      <c r="O931" s="9">
        <v>0.37459999999999999</v>
      </c>
      <c r="P931" s="9">
        <v>1.2939000000000001</v>
      </c>
      <c r="Q931" s="9">
        <v>19.688099999999999</v>
      </c>
      <c r="R931" s="9"/>
      <c r="S931" s="11"/>
    </row>
    <row r="932" spans="1:19" ht="15.75">
      <c r="A932" s="13">
        <v>70249</v>
      </c>
      <c r="B932" s="8">
        <f>37.1266 * CHOOSE(CONTROL!$C$12, $D$11, 100%, $F$11)</f>
        <v>37.126600000000003</v>
      </c>
      <c r="C932" s="8">
        <f>37.137 * CHOOSE(CONTROL!$C$12, $D$11, 100%, $F$11)</f>
        <v>37.137</v>
      </c>
      <c r="D932" s="8">
        <f>37.1402 * CHOOSE( CONTROL!$C$12, $D$11, 100%, $F$11)</f>
        <v>37.1402</v>
      </c>
      <c r="E932" s="12">
        <f>37.138 * CHOOSE( CONTROL!$C$12, $D$11, 100%, $F$11)</f>
        <v>37.137999999999998</v>
      </c>
      <c r="F932" s="4">
        <f>38.1338 * CHOOSE(CONTROL!$C$12, $D$11, 100%, $F$11)</f>
        <v>38.133800000000001</v>
      </c>
      <c r="G932" s="8">
        <f>36.1846 * CHOOSE( CONTROL!$C$12, $D$11, 100%, $F$11)</f>
        <v>36.184600000000003</v>
      </c>
      <c r="H932" s="4">
        <f>37.0955 * CHOOSE(CONTROL!$C$12, $D$11, 100%, $F$11)</f>
        <v>37.095500000000001</v>
      </c>
      <c r="I932" s="8">
        <f>35.636 * CHOOSE(CONTROL!$C$12, $D$11, 100%, $F$11)</f>
        <v>35.636000000000003</v>
      </c>
      <c r="J932" s="4">
        <f>35.5699 * CHOOSE(CONTROL!$C$12, $D$11, 100%, $F$11)</f>
        <v>35.569899999999997</v>
      </c>
      <c r="K932" s="4"/>
      <c r="L932" s="9">
        <v>27.988800000000001</v>
      </c>
      <c r="M932" s="9">
        <v>11.6745</v>
      </c>
      <c r="N932" s="9">
        <v>4.7850000000000001</v>
      </c>
      <c r="O932" s="9">
        <v>0.36249999999999999</v>
      </c>
      <c r="P932" s="9">
        <v>1.1798</v>
      </c>
      <c r="Q932" s="9">
        <v>19.053000000000001</v>
      </c>
      <c r="R932" s="9"/>
      <c r="S932" s="11"/>
    </row>
    <row r="933" spans="1:19" ht="15.75">
      <c r="A933" s="13">
        <v>70280</v>
      </c>
      <c r="B933" s="8">
        <f>CHOOSE( CONTROL!$C$29, 38.1199, 38.1157) * CHOOSE(CONTROL!$C$12, $D$11, 100%, $F$11)</f>
        <v>38.119900000000001</v>
      </c>
      <c r="C933" s="8">
        <f>CHOOSE( CONTROL!$C$29, 38.1304, 38.1261) * CHOOSE(CONTROL!$C$12, $D$11, 100%, $F$11)</f>
        <v>38.130400000000002</v>
      </c>
      <c r="D933" s="8">
        <f>CHOOSE( CONTROL!$C$29, 38.1083, 38.1041) * CHOOSE( CONTROL!$C$12, $D$11, 100%, $F$11)</f>
        <v>38.1083</v>
      </c>
      <c r="E933" s="12">
        <f>CHOOSE( CONTROL!$C$29, 38.1147, 38.1105) * CHOOSE( CONTROL!$C$12, $D$11, 100%, $F$11)</f>
        <v>38.114699999999999</v>
      </c>
      <c r="F933" s="4">
        <f>CHOOSE( CONTROL!$C$29, 39.0948, 39.0906) * CHOOSE(CONTROL!$C$12, $D$11, 100%, $F$11)</f>
        <v>39.094799999999999</v>
      </c>
      <c r="G933" s="8">
        <f>CHOOSE( CONTROL!$C$29, 37.1342, 37.13) * CHOOSE( CONTROL!$C$12, $D$11, 100%, $F$11)</f>
        <v>37.1342</v>
      </c>
      <c r="H933" s="4">
        <f>CHOOSE( CONTROL!$C$29, 38.0323, 38.0281) * CHOOSE(CONTROL!$C$12, $D$11, 100%, $F$11)</f>
        <v>38.032299999999999</v>
      </c>
      <c r="I933" s="8">
        <f>CHOOSE( CONTROL!$C$29, 36.5667, 36.5627) * CHOOSE(CONTROL!$C$12, $D$11, 100%, $F$11)</f>
        <v>36.566699999999997</v>
      </c>
      <c r="J933" s="4">
        <f>CHOOSE( CONTROL!$C$29, 36.5218, 36.5177) * CHOOSE(CONTROL!$C$12, $D$11, 100%, $F$11)</f>
        <v>36.521799999999999</v>
      </c>
      <c r="K933" s="4"/>
      <c r="L933" s="9">
        <v>29.520499999999998</v>
      </c>
      <c r="M933" s="9">
        <v>12.063700000000001</v>
      </c>
      <c r="N933" s="9">
        <v>4.9444999999999997</v>
      </c>
      <c r="O933" s="9">
        <v>0.37459999999999999</v>
      </c>
      <c r="P933" s="9">
        <v>1.2192000000000001</v>
      </c>
      <c r="Q933" s="9">
        <v>19.688099999999999</v>
      </c>
      <c r="R933" s="9"/>
      <c r="S933" s="11"/>
    </row>
    <row r="934" spans="1:19" ht="15.75">
      <c r="A934" s="13">
        <v>70310</v>
      </c>
      <c r="B934" s="8">
        <f>CHOOSE( CONTROL!$C$29, 37.5072, 37.503) * CHOOSE(CONTROL!$C$12, $D$11, 100%, $F$11)</f>
        <v>37.507199999999997</v>
      </c>
      <c r="C934" s="8">
        <f>CHOOSE( CONTROL!$C$29, 37.5176, 37.5134) * CHOOSE(CONTROL!$C$12, $D$11, 100%, $F$11)</f>
        <v>37.517600000000002</v>
      </c>
      <c r="D934" s="8">
        <f>CHOOSE( CONTROL!$C$29, 37.49, 37.4857) * CHOOSE( CONTROL!$C$12, $D$11, 100%, $F$11)</f>
        <v>37.49</v>
      </c>
      <c r="E934" s="12">
        <f>CHOOSE( CONTROL!$C$29, 37.4984, 37.4942) * CHOOSE( CONTROL!$C$12, $D$11, 100%, $F$11)</f>
        <v>37.498399999999997</v>
      </c>
      <c r="F934" s="4">
        <f>CHOOSE( CONTROL!$C$29, 38.4717, 38.4674) * CHOOSE(CONTROL!$C$12, $D$11, 100%, $F$11)</f>
        <v>38.471699999999998</v>
      </c>
      <c r="G934" s="8">
        <f>CHOOSE( CONTROL!$C$29, 36.5356, 36.5315) * CHOOSE( CONTROL!$C$12, $D$11, 100%, $F$11)</f>
        <v>36.535600000000002</v>
      </c>
      <c r="H934" s="4">
        <f>CHOOSE( CONTROL!$C$29, 37.4248, 37.4207) * CHOOSE(CONTROL!$C$12, $D$11, 100%, $F$11)</f>
        <v>37.424799999999998</v>
      </c>
      <c r="I934" s="8">
        <f>CHOOSE( CONTROL!$C$29, 35.9815, 35.9774) * CHOOSE(CONTROL!$C$12, $D$11, 100%, $F$11)</f>
        <v>35.981499999999997</v>
      </c>
      <c r="J934" s="4">
        <f>CHOOSE( CONTROL!$C$29, 35.9346, 35.9306) * CHOOSE(CONTROL!$C$12, $D$11, 100%, $F$11)</f>
        <v>35.934600000000003</v>
      </c>
      <c r="K934" s="4"/>
      <c r="L934" s="9">
        <v>28.568200000000001</v>
      </c>
      <c r="M934" s="9">
        <v>11.6745</v>
      </c>
      <c r="N934" s="9">
        <v>4.7850000000000001</v>
      </c>
      <c r="O934" s="9">
        <v>0.36249999999999999</v>
      </c>
      <c r="P934" s="9">
        <v>1.1798</v>
      </c>
      <c r="Q934" s="9">
        <v>19.053000000000001</v>
      </c>
      <c r="R934" s="9"/>
      <c r="S934" s="11"/>
    </row>
    <row r="935" spans="1:19" ht="15.75">
      <c r="A935" s="13">
        <v>70341</v>
      </c>
      <c r="B935" s="8">
        <f>CHOOSE( CONTROL!$C$29, 39.1208, 39.1165) * CHOOSE(CONTROL!$C$12, $D$11, 100%, $F$11)</f>
        <v>39.120800000000003</v>
      </c>
      <c r="C935" s="8">
        <f>CHOOSE( CONTROL!$C$29, 39.1312, 39.127) * CHOOSE(CONTROL!$C$12, $D$11, 100%, $F$11)</f>
        <v>39.1312</v>
      </c>
      <c r="D935" s="8">
        <f>CHOOSE( CONTROL!$C$29, 39.1373, 39.1331) * CHOOSE( CONTROL!$C$12, $D$11, 100%, $F$11)</f>
        <v>39.137300000000003</v>
      </c>
      <c r="E935" s="12">
        <f>CHOOSE( CONTROL!$C$29, 39.1335, 39.1293) * CHOOSE( CONTROL!$C$12, $D$11, 100%, $F$11)</f>
        <v>39.133499999999998</v>
      </c>
      <c r="F935" s="4">
        <f>CHOOSE( CONTROL!$C$29, 40.1306, 40.1264) * CHOOSE(CONTROL!$C$12, $D$11, 100%, $F$11)</f>
        <v>40.130600000000001</v>
      </c>
      <c r="G935" s="8">
        <f>CHOOSE( CONTROL!$C$29, 38.1345, 38.1304) * CHOOSE( CONTROL!$C$12, $D$11, 100%, $F$11)</f>
        <v>38.134500000000003</v>
      </c>
      <c r="H935" s="4">
        <f>CHOOSE( CONTROL!$C$29, 39.0419, 39.0378) * CHOOSE(CONTROL!$C$12, $D$11, 100%, $F$11)</f>
        <v>39.041899999999998</v>
      </c>
      <c r="I935" s="8">
        <f>CHOOSE( CONTROL!$C$29, 37.5837, 37.5796) * CHOOSE(CONTROL!$C$12, $D$11, 100%, $F$11)</f>
        <v>37.5837</v>
      </c>
      <c r="J935" s="4">
        <f>CHOOSE( CONTROL!$C$29, 37.4808, 37.4767) * CHOOSE(CONTROL!$C$12, $D$11, 100%, $F$11)</f>
        <v>37.480800000000002</v>
      </c>
      <c r="K935" s="4"/>
      <c r="L935" s="9">
        <v>29.520499999999998</v>
      </c>
      <c r="M935" s="9">
        <v>12.063700000000001</v>
      </c>
      <c r="N935" s="9">
        <v>4.9444999999999997</v>
      </c>
      <c r="O935" s="9">
        <v>0.37459999999999999</v>
      </c>
      <c r="P935" s="9">
        <v>1.2192000000000001</v>
      </c>
      <c r="Q935" s="9">
        <v>19.688099999999999</v>
      </c>
      <c r="R935" s="9"/>
      <c r="S935" s="11"/>
    </row>
    <row r="936" spans="1:19" ht="15.75">
      <c r="A936" s="13">
        <v>70372</v>
      </c>
      <c r="B936" s="8">
        <f>CHOOSE( CONTROL!$C$29, 36.1016, 36.0974) * CHOOSE(CONTROL!$C$12, $D$11, 100%, $F$11)</f>
        <v>36.101599999999998</v>
      </c>
      <c r="C936" s="8">
        <f>CHOOSE( CONTROL!$C$29, 36.1121, 36.1078) * CHOOSE(CONTROL!$C$12, $D$11, 100%, $F$11)</f>
        <v>36.112099999999998</v>
      </c>
      <c r="D936" s="8">
        <f>CHOOSE( CONTROL!$C$29, 36.1347, 36.1304) * CHOOSE( CONTROL!$C$12, $D$11, 100%, $F$11)</f>
        <v>36.134700000000002</v>
      </c>
      <c r="E936" s="12">
        <f>CHOOSE( CONTROL!$C$29, 36.1249, 36.1206) * CHOOSE( CONTROL!$C$12, $D$11, 100%, $F$11)</f>
        <v>36.124899999999997</v>
      </c>
      <c r="F936" s="4">
        <f>CHOOSE( CONTROL!$C$29, 37.1402, 37.136) * CHOOSE(CONTROL!$C$12, $D$11, 100%, $F$11)</f>
        <v>37.1402</v>
      </c>
      <c r="G936" s="8">
        <f>CHOOSE( CONTROL!$C$29, 35.1972, 35.193) * CHOOSE( CONTROL!$C$12, $D$11, 100%, $F$11)</f>
        <v>35.197200000000002</v>
      </c>
      <c r="H936" s="4">
        <f>CHOOSE( CONTROL!$C$29, 36.1269, 36.1228) * CHOOSE(CONTROL!$C$12, $D$11, 100%, $F$11)</f>
        <v>36.126899999999999</v>
      </c>
      <c r="I936" s="8">
        <f>CHOOSE( CONTROL!$C$29, 34.6808, 34.6767) * CHOOSE(CONTROL!$C$12, $D$11, 100%, $F$11)</f>
        <v>34.680799999999998</v>
      </c>
      <c r="J936" s="4">
        <f>CHOOSE( CONTROL!$C$29, 34.5878, 34.5838) * CHOOSE(CONTROL!$C$12, $D$11, 100%, $F$11)</f>
        <v>34.587800000000001</v>
      </c>
      <c r="K936" s="4"/>
      <c r="L936" s="9">
        <v>29.520499999999998</v>
      </c>
      <c r="M936" s="9">
        <v>12.063700000000001</v>
      </c>
      <c r="N936" s="9">
        <v>4.9444999999999997</v>
      </c>
      <c r="O936" s="9">
        <v>0.37459999999999999</v>
      </c>
      <c r="P936" s="9">
        <v>1.2192000000000001</v>
      </c>
      <c r="Q936" s="9">
        <v>19.688099999999999</v>
      </c>
      <c r="R936" s="9"/>
      <c r="S936" s="11"/>
    </row>
    <row r="937" spans="1:19" ht="15.75">
      <c r="A937" s="13">
        <v>70402</v>
      </c>
      <c r="B937" s="8">
        <f>CHOOSE( CONTROL!$C$29, 35.3456, 35.3414) * CHOOSE(CONTROL!$C$12, $D$11, 100%, $F$11)</f>
        <v>35.345599999999997</v>
      </c>
      <c r="C937" s="8">
        <f>CHOOSE( CONTROL!$C$29, 35.356, 35.3518) * CHOOSE(CONTROL!$C$12, $D$11, 100%, $F$11)</f>
        <v>35.356000000000002</v>
      </c>
      <c r="D937" s="8">
        <f>CHOOSE( CONTROL!$C$29, 35.3786, 35.3744) * CHOOSE( CONTROL!$C$12, $D$11, 100%, $F$11)</f>
        <v>35.378599999999999</v>
      </c>
      <c r="E937" s="12">
        <f>CHOOSE( CONTROL!$C$29, 35.3688, 35.3646) * CHOOSE( CONTROL!$C$12, $D$11, 100%, $F$11)</f>
        <v>35.3688</v>
      </c>
      <c r="F937" s="4">
        <f>CHOOSE( CONTROL!$C$29, 36.3842, 36.3799) * CHOOSE(CONTROL!$C$12, $D$11, 100%, $F$11)</f>
        <v>36.3842</v>
      </c>
      <c r="G937" s="8">
        <f>CHOOSE( CONTROL!$C$29, 34.4599, 34.4558) * CHOOSE( CONTROL!$C$12, $D$11, 100%, $F$11)</f>
        <v>34.459899999999998</v>
      </c>
      <c r="H937" s="4">
        <f>CHOOSE( CONTROL!$C$29, 35.39, 35.3859) * CHOOSE(CONTROL!$C$12, $D$11, 100%, $F$11)</f>
        <v>35.39</v>
      </c>
      <c r="I937" s="8">
        <f>CHOOSE( CONTROL!$C$29, 33.9542, 33.9502) * CHOOSE(CONTROL!$C$12, $D$11, 100%, $F$11)</f>
        <v>33.9542</v>
      </c>
      <c r="J937" s="4">
        <f>CHOOSE( CONTROL!$C$29, 33.8634, 33.8593) * CHOOSE(CONTROL!$C$12, $D$11, 100%, $F$11)</f>
        <v>33.863399999999999</v>
      </c>
      <c r="K937" s="4"/>
      <c r="L937" s="9">
        <v>28.568200000000001</v>
      </c>
      <c r="M937" s="9">
        <v>11.6745</v>
      </c>
      <c r="N937" s="9">
        <v>4.7850000000000001</v>
      </c>
      <c r="O937" s="9">
        <v>0.36249999999999999</v>
      </c>
      <c r="P937" s="9">
        <v>1.1798</v>
      </c>
      <c r="Q937" s="9">
        <v>19.053000000000001</v>
      </c>
      <c r="R937" s="9"/>
      <c r="S937" s="11"/>
    </row>
    <row r="938" spans="1:19" ht="15.75">
      <c r="A938" s="13">
        <v>70433</v>
      </c>
      <c r="B938" s="8">
        <f>36.9111 * CHOOSE(CONTROL!$C$12, $D$11, 100%, $F$11)</f>
        <v>36.911099999999998</v>
      </c>
      <c r="C938" s="8">
        <f>36.9216 * CHOOSE(CONTROL!$C$12, $D$11, 100%, $F$11)</f>
        <v>36.921599999999998</v>
      </c>
      <c r="D938" s="8">
        <f>36.926 * CHOOSE( CONTROL!$C$12, $D$11, 100%, $F$11)</f>
        <v>36.926000000000002</v>
      </c>
      <c r="E938" s="12">
        <f>36.9234 * CHOOSE( CONTROL!$C$12, $D$11, 100%, $F$11)</f>
        <v>36.923400000000001</v>
      </c>
      <c r="F938" s="4">
        <f>37.9184 * CHOOSE(CONTROL!$C$12, $D$11, 100%, $F$11)</f>
        <v>37.918399999999998</v>
      </c>
      <c r="G938" s="8">
        <f>35.9762 * CHOOSE( CONTROL!$C$12, $D$11, 100%, $F$11)</f>
        <v>35.976199999999999</v>
      </c>
      <c r="H938" s="4">
        <f>36.8855 * CHOOSE(CONTROL!$C$12, $D$11, 100%, $F$11)</f>
        <v>36.8855</v>
      </c>
      <c r="I938" s="8">
        <f>35.4517 * CHOOSE(CONTROL!$C$12, $D$11, 100%, $F$11)</f>
        <v>35.451700000000002</v>
      </c>
      <c r="J938" s="4">
        <f>35.3635 * CHOOSE(CONTROL!$C$12, $D$11, 100%, $F$11)</f>
        <v>35.363500000000002</v>
      </c>
      <c r="K938" s="4"/>
      <c r="L938" s="9">
        <v>28.921800000000001</v>
      </c>
      <c r="M938" s="9">
        <v>12.063700000000001</v>
      </c>
      <c r="N938" s="9">
        <v>4.9444999999999997</v>
      </c>
      <c r="O938" s="9">
        <v>0.37459999999999999</v>
      </c>
      <c r="P938" s="9">
        <v>1.2192000000000001</v>
      </c>
      <c r="Q938" s="9">
        <v>19.688099999999999</v>
      </c>
      <c r="R938" s="9"/>
      <c r="S938" s="11"/>
    </row>
    <row r="939" spans="1:19" ht="15.75">
      <c r="A939" s="13">
        <v>70463</v>
      </c>
      <c r="B939" s="8">
        <f>39.8086 * CHOOSE(CONTROL!$C$12, $D$11, 100%, $F$11)</f>
        <v>39.808599999999998</v>
      </c>
      <c r="C939" s="8">
        <f>39.819 * CHOOSE(CONTROL!$C$12, $D$11, 100%, $F$11)</f>
        <v>39.819000000000003</v>
      </c>
      <c r="D939" s="8">
        <f>39.8014 * CHOOSE( CONTROL!$C$12, $D$11, 100%, $F$11)</f>
        <v>39.801400000000001</v>
      </c>
      <c r="E939" s="12">
        <f>39.8067 * CHOOSE( CONTROL!$C$12, $D$11, 100%, $F$11)</f>
        <v>39.806699999999999</v>
      </c>
      <c r="F939" s="4">
        <f>40.8028 * CHOOSE(CONTROL!$C$12, $D$11, 100%, $F$11)</f>
        <v>40.802799999999998</v>
      </c>
      <c r="G939" s="8">
        <f>38.8131 * CHOOSE( CONTROL!$C$12, $D$11, 100%, $F$11)</f>
        <v>38.813099999999999</v>
      </c>
      <c r="H939" s="4">
        <f>39.6972 * CHOOSE(CONTROL!$C$12, $D$11, 100%, $F$11)</f>
        <v>39.697200000000002</v>
      </c>
      <c r="I939" s="8">
        <f>38.2529 * CHOOSE(CONTROL!$C$12, $D$11, 100%, $F$11)</f>
        <v>38.252899999999997</v>
      </c>
      <c r="J939" s="4">
        <f>38.1398 * CHOOSE(CONTROL!$C$12, $D$11, 100%, $F$11)</f>
        <v>38.139800000000001</v>
      </c>
      <c r="K939" s="4"/>
      <c r="L939" s="9">
        <v>26.515499999999999</v>
      </c>
      <c r="M939" s="9">
        <v>11.6745</v>
      </c>
      <c r="N939" s="9">
        <v>4.7850000000000001</v>
      </c>
      <c r="O939" s="9">
        <v>0.36249999999999999</v>
      </c>
      <c r="P939" s="9">
        <v>1.2522</v>
      </c>
      <c r="Q939" s="9">
        <v>19.053000000000001</v>
      </c>
      <c r="R939" s="9"/>
      <c r="S939" s="11"/>
    </row>
    <row r="940" spans="1:19" ht="15.75">
      <c r="A940" s="13">
        <v>70494</v>
      </c>
      <c r="B940" s="8">
        <f>39.7362 * CHOOSE(CONTROL!$C$12, $D$11, 100%, $F$11)</f>
        <v>39.736199999999997</v>
      </c>
      <c r="C940" s="8">
        <f>39.7466 * CHOOSE(CONTROL!$C$12, $D$11, 100%, $F$11)</f>
        <v>39.746600000000001</v>
      </c>
      <c r="D940" s="8">
        <f>39.731 * CHOOSE( CONTROL!$C$12, $D$11, 100%, $F$11)</f>
        <v>39.731000000000002</v>
      </c>
      <c r="E940" s="12">
        <f>39.7356 * CHOOSE( CONTROL!$C$12, $D$11, 100%, $F$11)</f>
        <v>39.735599999999998</v>
      </c>
      <c r="F940" s="4">
        <f>40.7304 * CHOOSE(CONTROL!$C$12, $D$11, 100%, $F$11)</f>
        <v>40.730400000000003</v>
      </c>
      <c r="G940" s="8">
        <f>38.744 * CHOOSE( CONTROL!$C$12, $D$11, 100%, $F$11)</f>
        <v>38.744</v>
      </c>
      <c r="H940" s="4">
        <f>39.6266 * CHOOSE(CONTROL!$C$12, $D$11, 100%, $F$11)</f>
        <v>39.626600000000003</v>
      </c>
      <c r="I940" s="8">
        <f>38.1908 * CHOOSE(CONTROL!$C$12, $D$11, 100%, $F$11)</f>
        <v>38.190800000000003</v>
      </c>
      <c r="J940" s="4">
        <f>38.0705 * CHOOSE(CONTROL!$C$12, $D$11, 100%, $F$11)</f>
        <v>38.070500000000003</v>
      </c>
      <c r="K940" s="4"/>
      <c r="L940" s="9">
        <v>27.3993</v>
      </c>
      <c r="M940" s="9">
        <v>12.063700000000001</v>
      </c>
      <c r="N940" s="9">
        <v>4.9444999999999997</v>
      </c>
      <c r="O940" s="9">
        <v>0.37459999999999999</v>
      </c>
      <c r="P940" s="9">
        <v>1.2939000000000001</v>
      </c>
      <c r="Q940" s="9">
        <v>19.688099999999999</v>
      </c>
      <c r="R940" s="9"/>
      <c r="S940" s="11"/>
    </row>
    <row r="941" spans="1:19" ht="15.75">
      <c r="A941" s="13">
        <v>70525</v>
      </c>
      <c r="B941" s="8">
        <f>41.2547 * CHOOSE(CONTROL!$C$12, $D$11, 100%, $F$11)</f>
        <v>41.2547</v>
      </c>
      <c r="C941" s="8">
        <f>41.2652 * CHOOSE(CONTROL!$C$12, $D$11, 100%, $F$11)</f>
        <v>41.2652</v>
      </c>
      <c r="D941" s="8">
        <f>41.2628 * CHOOSE( CONTROL!$C$12, $D$11, 100%, $F$11)</f>
        <v>41.262799999999999</v>
      </c>
      <c r="E941" s="12">
        <f>41.2626 * CHOOSE( CONTROL!$C$12, $D$11, 100%, $F$11)</f>
        <v>41.262599999999999</v>
      </c>
      <c r="F941" s="4">
        <f>42.2776 * CHOOSE(CONTROL!$C$12, $D$11, 100%, $F$11)</f>
        <v>42.2776</v>
      </c>
      <c r="G941" s="8">
        <f>40.2414 * CHOOSE( CONTROL!$C$12, $D$11, 100%, $F$11)</f>
        <v>40.241399999999999</v>
      </c>
      <c r="H941" s="4">
        <f>41.1348 * CHOOSE(CONTROL!$C$12, $D$11, 100%, $F$11)</f>
        <v>41.134799999999998</v>
      </c>
      <c r="I941" s="8">
        <f>39.6539 * CHOOSE(CONTROL!$C$12, $D$11, 100%, $F$11)</f>
        <v>39.6539</v>
      </c>
      <c r="J941" s="4">
        <f>39.5255 * CHOOSE(CONTROL!$C$12, $D$11, 100%, $F$11)</f>
        <v>39.525500000000001</v>
      </c>
      <c r="K941" s="4"/>
      <c r="L941" s="9">
        <v>27.3993</v>
      </c>
      <c r="M941" s="9">
        <v>12.063700000000001</v>
      </c>
      <c r="N941" s="9">
        <v>4.9444999999999997</v>
      </c>
      <c r="O941" s="9">
        <v>0.37459999999999999</v>
      </c>
      <c r="P941" s="9">
        <v>1.2939000000000001</v>
      </c>
      <c r="Q941" s="9">
        <v>19.688099999999999</v>
      </c>
      <c r="R941" s="9"/>
      <c r="S941" s="11"/>
    </row>
    <row r="942" spans="1:19" ht="15.75">
      <c r="A942" s="13">
        <v>70553</v>
      </c>
      <c r="B942" s="8">
        <f>38.588 * CHOOSE(CONTROL!$C$12, $D$11, 100%, $F$11)</f>
        <v>38.588000000000001</v>
      </c>
      <c r="C942" s="8">
        <f>38.5984 * CHOOSE(CONTROL!$C$12, $D$11, 100%, $F$11)</f>
        <v>38.598399999999998</v>
      </c>
      <c r="D942" s="8">
        <f>38.5984 * CHOOSE( CONTROL!$C$12, $D$11, 100%, $F$11)</f>
        <v>38.598399999999998</v>
      </c>
      <c r="E942" s="12">
        <f>38.5973 * CHOOSE( CONTROL!$C$12, $D$11, 100%, $F$11)</f>
        <v>38.597299999999997</v>
      </c>
      <c r="F942" s="4">
        <f>39.6031 * CHOOSE(CONTROL!$C$12, $D$11, 100%, $F$11)</f>
        <v>39.603099999999998</v>
      </c>
      <c r="G942" s="8">
        <f>37.6418 * CHOOSE( CONTROL!$C$12, $D$11, 100%, $F$11)</f>
        <v>37.641800000000003</v>
      </c>
      <c r="H942" s="4">
        <f>38.5277 * CHOOSE(CONTROL!$C$12, $D$11, 100%, $F$11)</f>
        <v>38.527700000000003</v>
      </c>
      <c r="I942" s="8">
        <f>37.0864 * CHOOSE(CONTROL!$C$12, $D$11, 100%, $F$11)</f>
        <v>37.086399999999998</v>
      </c>
      <c r="J942" s="4">
        <f>36.9703 * CHOOSE(CONTROL!$C$12, $D$11, 100%, $F$11)</f>
        <v>36.970300000000002</v>
      </c>
      <c r="K942" s="4"/>
      <c r="L942" s="9">
        <v>24.747800000000002</v>
      </c>
      <c r="M942" s="9">
        <v>10.8962</v>
      </c>
      <c r="N942" s="9">
        <v>4.4660000000000002</v>
      </c>
      <c r="O942" s="9">
        <v>0.33829999999999999</v>
      </c>
      <c r="P942" s="9">
        <v>1.1687000000000001</v>
      </c>
      <c r="Q942" s="9">
        <v>17.782800000000002</v>
      </c>
      <c r="R942" s="9"/>
      <c r="S942" s="11"/>
    </row>
    <row r="943" spans="1:19" ht="15.75">
      <c r="A943" s="13">
        <v>70584</v>
      </c>
      <c r="B943" s="8">
        <f>37.7666 * CHOOSE(CONTROL!$C$12, $D$11, 100%, $F$11)</f>
        <v>37.766599999999997</v>
      </c>
      <c r="C943" s="8">
        <f>37.7771 * CHOOSE(CONTROL!$C$12, $D$11, 100%, $F$11)</f>
        <v>37.777099999999997</v>
      </c>
      <c r="D943" s="8">
        <f>37.7569 * CHOOSE( CONTROL!$C$12, $D$11, 100%, $F$11)</f>
        <v>37.756900000000002</v>
      </c>
      <c r="E943" s="12">
        <f>37.7632 * CHOOSE( CONTROL!$C$12, $D$11, 100%, $F$11)</f>
        <v>37.763199999999998</v>
      </c>
      <c r="F943" s="4">
        <f>38.7656 * CHOOSE(CONTROL!$C$12, $D$11, 100%, $F$11)</f>
        <v>38.765599999999999</v>
      </c>
      <c r="G943" s="8">
        <f>36.8207 * CHOOSE( CONTROL!$C$12, $D$11, 100%, $F$11)</f>
        <v>36.820700000000002</v>
      </c>
      <c r="H943" s="4">
        <f>37.7113 * CHOOSE(CONTROL!$C$12, $D$11, 100%, $F$11)</f>
        <v>37.711300000000001</v>
      </c>
      <c r="I943" s="8">
        <f>36.2595 * CHOOSE(CONTROL!$C$12, $D$11, 100%, $F$11)</f>
        <v>36.259500000000003</v>
      </c>
      <c r="J943" s="4">
        <f>36.1832 * CHOOSE(CONTROL!$C$12, $D$11, 100%, $F$11)</f>
        <v>36.183199999999999</v>
      </c>
      <c r="K943" s="4"/>
      <c r="L943" s="9">
        <v>27.3993</v>
      </c>
      <c r="M943" s="9">
        <v>12.063700000000001</v>
      </c>
      <c r="N943" s="9">
        <v>4.9444999999999997</v>
      </c>
      <c r="O943" s="9">
        <v>0.37459999999999999</v>
      </c>
      <c r="P943" s="9">
        <v>1.2939000000000001</v>
      </c>
      <c r="Q943" s="9">
        <v>19.688099999999999</v>
      </c>
      <c r="R943" s="9"/>
      <c r="S943" s="11"/>
    </row>
    <row r="944" spans="1:19" ht="15.75">
      <c r="A944" s="13">
        <v>70614</v>
      </c>
      <c r="B944" s="8">
        <f>38.3406 * CHOOSE(CONTROL!$C$12, $D$11, 100%, $F$11)</f>
        <v>38.340600000000002</v>
      </c>
      <c r="C944" s="8">
        <f>38.351 * CHOOSE(CONTROL!$C$12, $D$11, 100%, $F$11)</f>
        <v>38.350999999999999</v>
      </c>
      <c r="D944" s="8">
        <f>38.3542 * CHOOSE( CONTROL!$C$12, $D$11, 100%, $F$11)</f>
        <v>38.354199999999999</v>
      </c>
      <c r="E944" s="12">
        <f>38.352 * CHOOSE( CONTROL!$C$12, $D$11, 100%, $F$11)</f>
        <v>38.351999999999997</v>
      </c>
      <c r="F944" s="4">
        <f>39.3478 * CHOOSE(CONTROL!$C$12, $D$11, 100%, $F$11)</f>
        <v>39.347799999999999</v>
      </c>
      <c r="G944" s="8">
        <f>37.368 * CHOOSE( CONTROL!$C$12, $D$11, 100%, $F$11)</f>
        <v>37.368000000000002</v>
      </c>
      <c r="H944" s="4">
        <f>38.2789 * CHOOSE(CONTROL!$C$12, $D$11, 100%, $F$11)</f>
        <v>38.2789</v>
      </c>
      <c r="I944" s="8">
        <f>36.7998 * CHOOSE(CONTROL!$C$12, $D$11, 100%, $F$11)</f>
        <v>36.799799999999998</v>
      </c>
      <c r="J944" s="4">
        <f>36.7332 * CHOOSE(CONTROL!$C$12, $D$11, 100%, $F$11)</f>
        <v>36.733199999999997</v>
      </c>
      <c r="K944" s="4"/>
      <c r="L944" s="9">
        <v>27.988800000000001</v>
      </c>
      <c r="M944" s="9">
        <v>11.6745</v>
      </c>
      <c r="N944" s="9">
        <v>4.7850000000000001</v>
      </c>
      <c r="O944" s="9">
        <v>0.36249999999999999</v>
      </c>
      <c r="P944" s="9">
        <v>1.1798</v>
      </c>
      <c r="Q944" s="9">
        <v>19.053000000000001</v>
      </c>
      <c r="R944" s="9"/>
      <c r="S944" s="11"/>
    </row>
    <row r="945" spans="1:19" ht="15.75">
      <c r="A945" s="13">
        <v>70645</v>
      </c>
      <c r="B945" s="8">
        <f>CHOOSE( CONTROL!$C$29, 39.3663, 39.3621) * CHOOSE(CONTROL!$C$12, $D$11, 100%, $F$11)</f>
        <v>39.366300000000003</v>
      </c>
      <c r="C945" s="8">
        <f>CHOOSE( CONTROL!$C$29, 39.3767, 39.3725) * CHOOSE(CONTROL!$C$12, $D$11, 100%, $F$11)</f>
        <v>39.3767</v>
      </c>
      <c r="D945" s="8">
        <f>CHOOSE( CONTROL!$C$29, 39.3547, 39.3504) * CHOOSE( CONTROL!$C$12, $D$11, 100%, $F$11)</f>
        <v>39.354700000000001</v>
      </c>
      <c r="E945" s="12">
        <f>CHOOSE( CONTROL!$C$29, 39.3611, 39.3568) * CHOOSE( CONTROL!$C$12, $D$11, 100%, $F$11)</f>
        <v>39.3611</v>
      </c>
      <c r="F945" s="4">
        <f>CHOOSE( CONTROL!$C$29, 40.3412, 40.337) * CHOOSE(CONTROL!$C$12, $D$11, 100%, $F$11)</f>
        <v>40.341200000000001</v>
      </c>
      <c r="G945" s="8">
        <f>CHOOSE( CONTROL!$C$29, 38.3491, 38.345) * CHOOSE( CONTROL!$C$12, $D$11, 100%, $F$11)</f>
        <v>38.3491</v>
      </c>
      <c r="H945" s="4">
        <f>CHOOSE( CONTROL!$C$29, 39.2472, 39.2431) * CHOOSE(CONTROL!$C$12, $D$11, 100%, $F$11)</f>
        <v>39.247199999999999</v>
      </c>
      <c r="I945" s="8">
        <f>CHOOSE( CONTROL!$C$29, 37.7616, 37.7575) * CHOOSE(CONTROL!$C$12, $D$11, 100%, $F$11)</f>
        <v>37.761600000000001</v>
      </c>
      <c r="J945" s="4">
        <f>CHOOSE( CONTROL!$C$29, 37.716, 37.712) * CHOOSE(CONTROL!$C$12, $D$11, 100%, $F$11)</f>
        <v>37.716000000000001</v>
      </c>
      <c r="K945" s="4"/>
      <c r="L945" s="9">
        <v>29.520499999999998</v>
      </c>
      <c r="M945" s="9">
        <v>12.063700000000001</v>
      </c>
      <c r="N945" s="9">
        <v>4.9444999999999997</v>
      </c>
      <c r="O945" s="9">
        <v>0.37459999999999999</v>
      </c>
      <c r="P945" s="9">
        <v>1.2192000000000001</v>
      </c>
      <c r="Q945" s="9">
        <v>19.688099999999999</v>
      </c>
      <c r="R945" s="9"/>
      <c r="S945" s="11"/>
    </row>
    <row r="946" spans="1:19" ht="15.75">
      <c r="A946" s="13">
        <v>70675</v>
      </c>
      <c r="B946" s="8">
        <f>CHOOSE( CONTROL!$C$29, 38.7335, 38.7293) * CHOOSE(CONTROL!$C$12, $D$11, 100%, $F$11)</f>
        <v>38.733499999999999</v>
      </c>
      <c r="C946" s="8">
        <f>CHOOSE( CONTROL!$C$29, 38.744, 38.7397) * CHOOSE(CONTROL!$C$12, $D$11, 100%, $F$11)</f>
        <v>38.744</v>
      </c>
      <c r="D946" s="8">
        <f>CHOOSE( CONTROL!$C$29, 38.7163, 38.7121) * CHOOSE( CONTROL!$C$12, $D$11, 100%, $F$11)</f>
        <v>38.716299999999997</v>
      </c>
      <c r="E946" s="12">
        <f>CHOOSE( CONTROL!$C$29, 38.7247, 38.7205) * CHOOSE( CONTROL!$C$12, $D$11, 100%, $F$11)</f>
        <v>38.724699999999999</v>
      </c>
      <c r="F946" s="4">
        <f>CHOOSE( CONTROL!$C$29, 39.698, 39.6938) * CHOOSE(CONTROL!$C$12, $D$11, 100%, $F$11)</f>
        <v>39.698</v>
      </c>
      <c r="G946" s="8">
        <f>CHOOSE( CONTROL!$C$29, 37.731, 37.7269) * CHOOSE( CONTROL!$C$12, $D$11, 100%, $F$11)</f>
        <v>37.731000000000002</v>
      </c>
      <c r="H946" s="4">
        <f>CHOOSE( CONTROL!$C$29, 38.6202, 38.6161) * CHOOSE(CONTROL!$C$12, $D$11, 100%, $F$11)</f>
        <v>38.620199999999997</v>
      </c>
      <c r="I946" s="8">
        <f>CHOOSE( CONTROL!$C$29, 37.1571, 37.1531) * CHOOSE(CONTROL!$C$12, $D$11, 100%, $F$11)</f>
        <v>37.1571</v>
      </c>
      <c r="J946" s="4">
        <f>CHOOSE( CONTROL!$C$29, 37.1097, 37.1056) * CHOOSE(CONTROL!$C$12, $D$11, 100%, $F$11)</f>
        <v>37.109699999999997</v>
      </c>
      <c r="K946" s="4"/>
      <c r="L946" s="9">
        <v>28.568200000000001</v>
      </c>
      <c r="M946" s="9">
        <v>11.6745</v>
      </c>
      <c r="N946" s="9">
        <v>4.7850000000000001</v>
      </c>
      <c r="O946" s="9">
        <v>0.36249999999999999</v>
      </c>
      <c r="P946" s="9">
        <v>1.1798</v>
      </c>
      <c r="Q946" s="9">
        <v>19.053000000000001</v>
      </c>
      <c r="R946" s="9"/>
      <c r="S946" s="11"/>
    </row>
    <row r="947" spans="1:19" ht="15.75">
      <c r="A947" s="13">
        <v>70706</v>
      </c>
      <c r="B947" s="8">
        <f>CHOOSE( CONTROL!$C$29, 40.3999, 40.3956) * CHOOSE(CONTROL!$C$12, $D$11, 100%, $F$11)</f>
        <v>40.399900000000002</v>
      </c>
      <c r="C947" s="8">
        <f>CHOOSE( CONTROL!$C$29, 40.4103, 40.406) * CHOOSE(CONTROL!$C$12, $D$11, 100%, $F$11)</f>
        <v>40.410299999999999</v>
      </c>
      <c r="D947" s="8">
        <f>CHOOSE( CONTROL!$C$29, 40.4164, 40.4122) * CHOOSE( CONTROL!$C$12, $D$11, 100%, $F$11)</f>
        <v>40.416400000000003</v>
      </c>
      <c r="E947" s="12">
        <f>CHOOSE( CONTROL!$C$29, 40.4126, 40.4084) * CHOOSE( CONTROL!$C$12, $D$11, 100%, $F$11)</f>
        <v>40.412599999999998</v>
      </c>
      <c r="F947" s="4">
        <f>CHOOSE( CONTROL!$C$29, 41.4097, 41.4055) * CHOOSE(CONTROL!$C$12, $D$11, 100%, $F$11)</f>
        <v>41.409700000000001</v>
      </c>
      <c r="G947" s="8">
        <f>CHOOSE( CONTROL!$C$29, 39.3814, 39.3772) * CHOOSE( CONTROL!$C$12, $D$11, 100%, $F$11)</f>
        <v>39.381399999999999</v>
      </c>
      <c r="H947" s="4">
        <f>CHOOSE( CONTROL!$C$29, 40.2887, 40.2846) * CHOOSE(CONTROL!$C$12, $D$11, 100%, $F$11)</f>
        <v>40.288699999999999</v>
      </c>
      <c r="I947" s="8">
        <f>CHOOSE( CONTROL!$C$29, 38.8099, 38.8058) * CHOOSE(CONTROL!$C$12, $D$11, 100%, $F$11)</f>
        <v>38.809899999999999</v>
      </c>
      <c r="J947" s="4">
        <f>CHOOSE( CONTROL!$C$29, 38.7064, 38.7023) * CHOOSE(CONTROL!$C$12, $D$11, 100%, $F$11)</f>
        <v>38.706400000000002</v>
      </c>
      <c r="K947" s="4"/>
      <c r="L947" s="9">
        <v>29.520499999999998</v>
      </c>
      <c r="M947" s="9">
        <v>12.063700000000001</v>
      </c>
      <c r="N947" s="9">
        <v>4.9444999999999997</v>
      </c>
      <c r="O947" s="9">
        <v>0.37459999999999999</v>
      </c>
      <c r="P947" s="9">
        <v>1.2192000000000001</v>
      </c>
      <c r="Q947" s="9">
        <v>19.688099999999999</v>
      </c>
      <c r="R947" s="9"/>
      <c r="S947" s="11"/>
    </row>
    <row r="948" spans="1:19" ht="15.75">
      <c r="A948" s="13">
        <v>70737</v>
      </c>
      <c r="B948" s="8">
        <f>CHOOSE( CONTROL!$C$29, 37.282, 37.2777) * CHOOSE(CONTROL!$C$12, $D$11, 100%, $F$11)</f>
        <v>37.281999999999996</v>
      </c>
      <c r="C948" s="8">
        <f>CHOOSE( CONTROL!$C$29, 37.2924, 37.2882) * CHOOSE(CONTROL!$C$12, $D$11, 100%, $F$11)</f>
        <v>37.292400000000001</v>
      </c>
      <c r="D948" s="8">
        <f>CHOOSE( CONTROL!$C$29, 37.315, 37.3108) * CHOOSE( CONTROL!$C$12, $D$11, 100%, $F$11)</f>
        <v>37.314999999999998</v>
      </c>
      <c r="E948" s="12">
        <f>CHOOSE( CONTROL!$C$29, 37.3052, 37.301) * CHOOSE( CONTROL!$C$12, $D$11, 100%, $F$11)</f>
        <v>37.305199999999999</v>
      </c>
      <c r="F948" s="4">
        <f>CHOOSE( CONTROL!$C$29, 38.3206, 38.3163) * CHOOSE(CONTROL!$C$12, $D$11, 100%, $F$11)</f>
        <v>38.320599999999999</v>
      </c>
      <c r="G948" s="8">
        <f>CHOOSE( CONTROL!$C$29, 36.3478, 36.3436) * CHOOSE( CONTROL!$C$12, $D$11, 100%, $F$11)</f>
        <v>36.347799999999999</v>
      </c>
      <c r="H948" s="4">
        <f>CHOOSE( CONTROL!$C$29, 37.2775, 37.2734) * CHOOSE(CONTROL!$C$12, $D$11, 100%, $F$11)</f>
        <v>37.277500000000003</v>
      </c>
      <c r="I948" s="8">
        <f>CHOOSE( CONTROL!$C$29, 35.8123, 35.8083) * CHOOSE(CONTROL!$C$12, $D$11, 100%, $F$11)</f>
        <v>35.8123</v>
      </c>
      <c r="J948" s="4">
        <f>CHOOSE( CONTROL!$C$29, 35.7188, 35.7148) * CHOOSE(CONTROL!$C$12, $D$11, 100%, $F$11)</f>
        <v>35.718800000000002</v>
      </c>
      <c r="K948" s="4"/>
      <c r="L948" s="9">
        <v>29.520499999999998</v>
      </c>
      <c r="M948" s="9">
        <v>12.063700000000001</v>
      </c>
      <c r="N948" s="9">
        <v>4.9444999999999997</v>
      </c>
      <c r="O948" s="9">
        <v>0.37459999999999999</v>
      </c>
      <c r="P948" s="9">
        <v>1.2192000000000001</v>
      </c>
      <c r="Q948" s="9">
        <v>19.688099999999999</v>
      </c>
      <c r="R948" s="9"/>
      <c r="S948" s="11"/>
    </row>
    <row r="949" spans="1:19" ht="15.75">
      <c r="A949" s="13">
        <v>70767</v>
      </c>
      <c r="B949" s="8">
        <f>CHOOSE( CONTROL!$C$29, 36.5012, 36.497) * CHOOSE(CONTROL!$C$12, $D$11, 100%, $F$11)</f>
        <v>36.501199999999997</v>
      </c>
      <c r="C949" s="8">
        <f>CHOOSE( CONTROL!$C$29, 36.5117, 36.5074) * CHOOSE(CONTROL!$C$12, $D$11, 100%, $F$11)</f>
        <v>36.511699999999998</v>
      </c>
      <c r="D949" s="8">
        <f>CHOOSE( CONTROL!$C$29, 36.5342, 36.53) * CHOOSE( CONTROL!$C$12, $D$11, 100%, $F$11)</f>
        <v>36.534199999999998</v>
      </c>
      <c r="E949" s="12">
        <f>CHOOSE( CONTROL!$C$29, 36.5244, 36.5202) * CHOOSE( CONTROL!$C$12, $D$11, 100%, $F$11)</f>
        <v>36.5244</v>
      </c>
      <c r="F949" s="4">
        <f>CHOOSE( CONTROL!$C$29, 37.5398, 37.5356) * CHOOSE(CONTROL!$C$12, $D$11, 100%, $F$11)</f>
        <v>37.5398</v>
      </c>
      <c r="G949" s="8">
        <f>CHOOSE( CONTROL!$C$29, 35.5864, 35.5823) * CHOOSE( CONTROL!$C$12, $D$11, 100%, $F$11)</f>
        <v>35.586399999999998</v>
      </c>
      <c r="H949" s="4">
        <f>CHOOSE( CONTROL!$C$29, 36.5165, 36.5123) * CHOOSE(CONTROL!$C$12, $D$11, 100%, $F$11)</f>
        <v>36.516500000000001</v>
      </c>
      <c r="I949" s="8">
        <f>CHOOSE( CONTROL!$C$29, 35.0621, 35.0581) * CHOOSE(CONTROL!$C$12, $D$11, 100%, $F$11)</f>
        <v>35.062100000000001</v>
      </c>
      <c r="J949" s="4">
        <f>CHOOSE( CONTROL!$C$29, 34.9707, 34.9667) * CHOOSE(CONTROL!$C$12, $D$11, 100%, $F$11)</f>
        <v>34.970700000000001</v>
      </c>
      <c r="K949" s="4"/>
      <c r="L949" s="9">
        <v>28.568200000000001</v>
      </c>
      <c r="M949" s="9">
        <v>11.6745</v>
      </c>
      <c r="N949" s="9">
        <v>4.7850000000000001</v>
      </c>
      <c r="O949" s="9">
        <v>0.36249999999999999</v>
      </c>
      <c r="P949" s="9">
        <v>1.1798</v>
      </c>
      <c r="Q949" s="9">
        <v>19.053000000000001</v>
      </c>
      <c r="R949" s="9"/>
      <c r="S949" s="11"/>
    </row>
    <row r="950" spans="1:19" ht="15.75">
      <c r="A950" s="13">
        <v>70798</v>
      </c>
      <c r="B950" s="8">
        <f>38.1181 * CHOOSE(CONTROL!$C$12, $D$11, 100%, $F$11)</f>
        <v>38.118099999999998</v>
      </c>
      <c r="C950" s="8">
        <f>38.1285 * CHOOSE(CONTROL!$C$12, $D$11, 100%, $F$11)</f>
        <v>38.128500000000003</v>
      </c>
      <c r="D950" s="8">
        <f>38.133 * CHOOSE( CONTROL!$C$12, $D$11, 100%, $F$11)</f>
        <v>38.133000000000003</v>
      </c>
      <c r="E950" s="12">
        <f>38.1304 * CHOOSE( CONTROL!$C$12, $D$11, 100%, $F$11)</f>
        <v>38.130400000000002</v>
      </c>
      <c r="F950" s="4">
        <f>39.1254 * CHOOSE(CONTROL!$C$12, $D$11, 100%, $F$11)</f>
        <v>39.125399999999999</v>
      </c>
      <c r="G950" s="8">
        <f>37.1527 * CHOOSE( CONTROL!$C$12, $D$11, 100%, $F$11)</f>
        <v>37.152700000000003</v>
      </c>
      <c r="H950" s="4">
        <f>38.062 * CHOOSE(CONTROL!$C$12, $D$11, 100%, $F$11)</f>
        <v>38.061999999999998</v>
      </c>
      <c r="I950" s="8">
        <f>36.6088 * CHOOSE(CONTROL!$C$12, $D$11, 100%, $F$11)</f>
        <v>36.608800000000002</v>
      </c>
      <c r="J950" s="4">
        <f>36.52 * CHOOSE(CONTROL!$C$12, $D$11, 100%, $F$11)</f>
        <v>36.520000000000003</v>
      </c>
      <c r="K950" s="4"/>
      <c r="L950" s="9">
        <v>28.921800000000001</v>
      </c>
      <c r="M950" s="9">
        <v>12.063700000000001</v>
      </c>
      <c r="N950" s="9">
        <v>4.9444999999999997</v>
      </c>
      <c r="O950" s="9">
        <v>0.37459999999999999</v>
      </c>
      <c r="P950" s="9">
        <v>1.2192000000000001</v>
      </c>
      <c r="Q950" s="9">
        <v>19.688099999999999</v>
      </c>
      <c r="R950" s="9"/>
      <c r="S950" s="11"/>
    </row>
    <row r="951" spans="1:19" ht="15.75">
      <c r="A951" s="13">
        <v>70828</v>
      </c>
      <c r="B951" s="8">
        <f>41.1103 * CHOOSE(CONTROL!$C$12, $D$11, 100%, $F$11)</f>
        <v>41.110300000000002</v>
      </c>
      <c r="C951" s="8">
        <f>41.1208 * CHOOSE(CONTROL!$C$12, $D$11, 100%, $F$11)</f>
        <v>41.120800000000003</v>
      </c>
      <c r="D951" s="8">
        <f>41.1032 * CHOOSE( CONTROL!$C$12, $D$11, 100%, $F$11)</f>
        <v>41.103200000000001</v>
      </c>
      <c r="E951" s="12">
        <f>41.1085 * CHOOSE( CONTROL!$C$12, $D$11, 100%, $F$11)</f>
        <v>41.108499999999999</v>
      </c>
      <c r="F951" s="4">
        <f>42.1045 * CHOOSE(CONTROL!$C$12, $D$11, 100%, $F$11)</f>
        <v>42.104500000000002</v>
      </c>
      <c r="G951" s="8">
        <f>40.0819 * CHOOSE( CONTROL!$C$12, $D$11, 100%, $F$11)</f>
        <v>40.081899999999997</v>
      </c>
      <c r="H951" s="4">
        <f>40.966 * CHOOSE(CONTROL!$C$12, $D$11, 100%, $F$11)</f>
        <v>40.966000000000001</v>
      </c>
      <c r="I951" s="8">
        <f>39.5009 * CHOOSE(CONTROL!$C$12, $D$11, 100%, $F$11)</f>
        <v>39.500900000000001</v>
      </c>
      <c r="J951" s="4">
        <f>39.3872 * CHOOSE(CONTROL!$C$12, $D$11, 100%, $F$11)</f>
        <v>39.3872</v>
      </c>
      <c r="K951" s="4"/>
      <c r="L951" s="9">
        <v>26.515499999999999</v>
      </c>
      <c r="M951" s="9">
        <v>11.6745</v>
      </c>
      <c r="N951" s="9">
        <v>4.7850000000000001</v>
      </c>
      <c r="O951" s="9">
        <v>0.36249999999999999</v>
      </c>
      <c r="P951" s="9">
        <v>1.2522</v>
      </c>
      <c r="Q951" s="9">
        <v>19.053000000000001</v>
      </c>
      <c r="R951" s="9"/>
      <c r="S951" s="11"/>
    </row>
    <row r="952" spans="1:19" ht="15.75">
      <c r="A952" s="13">
        <v>70859</v>
      </c>
      <c r="B952" s="8">
        <f>41.0356 * CHOOSE(CONTROL!$C$12, $D$11, 100%, $F$11)</f>
        <v>41.035600000000002</v>
      </c>
      <c r="C952" s="8">
        <f>41.046 * CHOOSE(CONTROL!$C$12, $D$11, 100%, $F$11)</f>
        <v>41.045999999999999</v>
      </c>
      <c r="D952" s="8">
        <f>41.0304 * CHOOSE( CONTROL!$C$12, $D$11, 100%, $F$11)</f>
        <v>41.0304</v>
      </c>
      <c r="E952" s="12">
        <f>41.035 * CHOOSE( CONTROL!$C$12, $D$11, 100%, $F$11)</f>
        <v>41.034999999999997</v>
      </c>
      <c r="F952" s="4">
        <f>42.0298 * CHOOSE(CONTROL!$C$12, $D$11, 100%, $F$11)</f>
        <v>42.029800000000002</v>
      </c>
      <c r="G952" s="8">
        <f>40.0106 * CHOOSE( CONTROL!$C$12, $D$11, 100%, $F$11)</f>
        <v>40.010599999999997</v>
      </c>
      <c r="H952" s="4">
        <f>40.8932 * CHOOSE(CONTROL!$C$12, $D$11, 100%, $F$11)</f>
        <v>40.8932</v>
      </c>
      <c r="I952" s="8">
        <f>39.4364 * CHOOSE(CONTROL!$C$12, $D$11, 100%, $F$11)</f>
        <v>39.436399999999999</v>
      </c>
      <c r="J952" s="4">
        <f>39.3155 * CHOOSE(CONTROL!$C$12, $D$11, 100%, $F$11)</f>
        <v>39.3155</v>
      </c>
      <c r="K952" s="4"/>
      <c r="L952" s="9">
        <v>27.3993</v>
      </c>
      <c r="M952" s="9">
        <v>12.063700000000001</v>
      </c>
      <c r="N952" s="9">
        <v>4.9444999999999997</v>
      </c>
      <c r="O952" s="9">
        <v>0.37459999999999999</v>
      </c>
      <c r="P952" s="9">
        <v>1.2939000000000001</v>
      </c>
      <c r="Q952" s="9">
        <v>19.688099999999999</v>
      </c>
      <c r="R952" s="9"/>
      <c r="S952" s="11"/>
    </row>
    <row r="953" spans="1:19" ht="15.75">
      <c r="A953" s="13">
        <v>70890</v>
      </c>
      <c r="B953" s="8">
        <f>42.6037 * CHOOSE(CONTROL!$C$12, $D$11, 100%, $F$11)</f>
        <v>42.603700000000003</v>
      </c>
      <c r="C953" s="8">
        <f>42.6142 * CHOOSE(CONTROL!$C$12, $D$11, 100%, $F$11)</f>
        <v>42.614199999999997</v>
      </c>
      <c r="D953" s="8">
        <f>42.6118 * CHOOSE( CONTROL!$C$12, $D$11, 100%, $F$11)</f>
        <v>42.611800000000002</v>
      </c>
      <c r="E953" s="12">
        <f>42.6116 * CHOOSE( CONTROL!$C$12, $D$11, 100%, $F$11)</f>
        <v>42.611600000000003</v>
      </c>
      <c r="F953" s="4">
        <f>43.6266 * CHOOSE(CONTROL!$C$12, $D$11, 100%, $F$11)</f>
        <v>43.626600000000003</v>
      </c>
      <c r="G953" s="8">
        <f>41.5564 * CHOOSE( CONTROL!$C$12, $D$11, 100%, $F$11)</f>
        <v>41.556399999999996</v>
      </c>
      <c r="H953" s="4">
        <f>42.4497 * CHOOSE(CONTROL!$C$12, $D$11, 100%, $F$11)</f>
        <v>42.4497</v>
      </c>
      <c r="I953" s="8">
        <f>40.9471 * CHOOSE(CONTROL!$C$12, $D$11, 100%, $F$11)</f>
        <v>40.947099999999999</v>
      </c>
      <c r="J953" s="4">
        <f>40.8181 * CHOOSE(CONTROL!$C$12, $D$11, 100%, $F$11)</f>
        <v>40.818100000000001</v>
      </c>
      <c r="K953" s="4"/>
      <c r="L953" s="9">
        <v>27.3993</v>
      </c>
      <c r="M953" s="9">
        <v>12.063700000000001</v>
      </c>
      <c r="N953" s="9">
        <v>4.9444999999999997</v>
      </c>
      <c r="O953" s="9">
        <v>0.37459999999999999</v>
      </c>
      <c r="P953" s="9">
        <v>1.2939000000000001</v>
      </c>
      <c r="Q953" s="9">
        <v>19.688099999999999</v>
      </c>
      <c r="R953" s="9"/>
      <c r="S953" s="11"/>
    </row>
    <row r="954" spans="1:19" ht="15.75">
      <c r="A954" s="13">
        <v>70918</v>
      </c>
      <c r="B954" s="8">
        <f>39.8498 * CHOOSE(CONTROL!$C$12, $D$11, 100%, $F$11)</f>
        <v>39.849800000000002</v>
      </c>
      <c r="C954" s="8">
        <f>39.8602 * CHOOSE(CONTROL!$C$12, $D$11, 100%, $F$11)</f>
        <v>39.860199999999999</v>
      </c>
      <c r="D954" s="8">
        <f>39.8602 * CHOOSE( CONTROL!$C$12, $D$11, 100%, $F$11)</f>
        <v>39.860199999999999</v>
      </c>
      <c r="E954" s="12">
        <f>39.8591 * CHOOSE( CONTROL!$C$12, $D$11, 100%, $F$11)</f>
        <v>39.859099999999998</v>
      </c>
      <c r="F954" s="4">
        <f>40.8649 * CHOOSE(CONTROL!$C$12, $D$11, 100%, $F$11)</f>
        <v>40.864899999999999</v>
      </c>
      <c r="G954" s="8">
        <f>38.8718 * CHOOSE( CONTROL!$C$12, $D$11, 100%, $F$11)</f>
        <v>38.8718</v>
      </c>
      <c r="H954" s="4">
        <f>39.7577 * CHOOSE(CONTROL!$C$12, $D$11, 100%, $F$11)</f>
        <v>39.7577</v>
      </c>
      <c r="I954" s="8">
        <f>38.2961 * CHOOSE(CONTROL!$C$12, $D$11, 100%, $F$11)</f>
        <v>38.296100000000003</v>
      </c>
      <c r="J954" s="4">
        <f>38.1793 * CHOOSE(CONTROL!$C$12, $D$11, 100%, $F$11)</f>
        <v>38.179299999999998</v>
      </c>
      <c r="K954" s="4"/>
      <c r="L954" s="9">
        <v>24.747800000000002</v>
      </c>
      <c r="M954" s="9">
        <v>10.8962</v>
      </c>
      <c r="N954" s="9">
        <v>4.4660000000000002</v>
      </c>
      <c r="O954" s="9">
        <v>0.33829999999999999</v>
      </c>
      <c r="P954" s="9">
        <v>1.1687000000000001</v>
      </c>
      <c r="Q954" s="9">
        <v>17.782800000000002</v>
      </c>
      <c r="R954" s="9"/>
      <c r="S954" s="11"/>
    </row>
    <row r="955" spans="1:19" ht="15.75">
      <c r="A955" s="13">
        <v>70949</v>
      </c>
      <c r="B955" s="8">
        <f>39.0016 * CHOOSE(CONTROL!$C$12, $D$11, 100%, $F$11)</f>
        <v>39.001600000000003</v>
      </c>
      <c r="C955" s="8">
        <f>39.012 * CHOOSE(CONTROL!$C$12, $D$11, 100%, $F$11)</f>
        <v>39.012</v>
      </c>
      <c r="D955" s="8">
        <f>38.9919 * CHOOSE( CONTROL!$C$12, $D$11, 100%, $F$11)</f>
        <v>38.991900000000001</v>
      </c>
      <c r="E955" s="12">
        <f>38.9981 * CHOOSE( CONTROL!$C$12, $D$11, 100%, $F$11)</f>
        <v>38.998100000000001</v>
      </c>
      <c r="F955" s="4">
        <f>40.0005 * CHOOSE(CONTROL!$C$12, $D$11, 100%, $F$11)</f>
        <v>40.000500000000002</v>
      </c>
      <c r="G955" s="8">
        <f>38.0245 * CHOOSE( CONTROL!$C$12, $D$11, 100%, $F$11)</f>
        <v>38.024500000000003</v>
      </c>
      <c r="H955" s="4">
        <f>38.9151 * CHOOSE(CONTROL!$C$12, $D$11, 100%, $F$11)</f>
        <v>38.915100000000002</v>
      </c>
      <c r="I955" s="8">
        <f>37.4434 * CHOOSE(CONTROL!$C$12, $D$11, 100%, $F$11)</f>
        <v>37.443399999999997</v>
      </c>
      <c r="J955" s="4">
        <f>37.3666 * CHOOSE(CONTROL!$C$12, $D$11, 100%, $F$11)</f>
        <v>37.366599999999998</v>
      </c>
      <c r="K955" s="4"/>
      <c r="L955" s="9">
        <v>27.3993</v>
      </c>
      <c r="M955" s="9">
        <v>12.063700000000001</v>
      </c>
      <c r="N955" s="9">
        <v>4.9444999999999997</v>
      </c>
      <c r="O955" s="9">
        <v>0.37459999999999999</v>
      </c>
      <c r="P955" s="9">
        <v>1.2939000000000001</v>
      </c>
      <c r="Q955" s="9">
        <v>19.688099999999999</v>
      </c>
      <c r="R955" s="9"/>
      <c r="S955" s="11"/>
    </row>
    <row r="956" spans="1:19" ht="15.75">
      <c r="A956" s="13">
        <v>70979</v>
      </c>
      <c r="B956" s="8">
        <f>39.5943 * CHOOSE(CONTROL!$C$12, $D$11, 100%, $F$11)</f>
        <v>39.594299999999997</v>
      </c>
      <c r="C956" s="8">
        <f>39.6047 * CHOOSE(CONTROL!$C$12, $D$11, 100%, $F$11)</f>
        <v>39.604700000000001</v>
      </c>
      <c r="D956" s="8">
        <f>39.6079 * CHOOSE( CONTROL!$C$12, $D$11, 100%, $F$11)</f>
        <v>39.607900000000001</v>
      </c>
      <c r="E956" s="12">
        <f>39.6057 * CHOOSE( CONTROL!$C$12, $D$11, 100%, $F$11)</f>
        <v>39.605699999999999</v>
      </c>
      <c r="F956" s="4">
        <f>40.6016 * CHOOSE(CONTROL!$C$12, $D$11, 100%, $F$11)</f>
        <v>40.601599999999998</v>
      </c>
      <c r="G956" s="8">
        <f>38.5901 * CHOOSE( CONTROL!$C$12, $D$11, 100%, $F$11)</f>
        <v>38.5901</v>
      </c>
      <c r="H956" s="4">
        <f>39.501 * CHOOSE(CONTROL!$C$12, $D$11, 100%, $F$11)</f>
        <v>39.500999999999998</v>
      </c>
      <c r="I956" s="8">
        <f>38.0017 * CHOOSE(CONTROL!$C$12, $D$11, 100%, $F$11)</f>
        <v>38.0017</v>
      </c>
      <c r="J956" s="4">
        <f>37.9345 * CHOOSE(CONTROL!$C$12, $D$11, 100%, $F$11)</f>
        <v>37.9345</v>
      </c>
      <c r="K956" s="4"/>
      <c r="L956" s="9">
        <v>27.988800000000001</v>
      </c>
      <c r="M956" s="9">
        <v>11.6745</v>
      </c>
      <c r="N956" s="9">
        <v>4.7850000000000001</v>
      </c>
      <c r="O956" s="9">
        <v>0.36249999999999999</v>
      </c>
      <c r="P956" s="9">
        <v>1.1798</v>
      </c>
      <c r="Q956" s="9">
        <v>19.053000000000001</v>
      </c>
      <c r="R956" s="9"/>
      <c r="S956" s="11"/>
    </row>
    <row r="957" spans="1:19" ht="15.75">
      <c r="A957" s="13">
        <v>71010</v>
      </c>
      <c r="B957" s="8">
        <f>CHOOSE( CONTROL!$C$29, 40.6534, 40.6492) * CHOOSE(CONTROL!$C$12, $D$11, 100%, $F$11)</f>
        <v>40.653399999999998</v>
      </c>
      <c r="C957" s="8">
        <f>CHOOSE( CONTROL!$C$29, 40.6639, 40.6596) * CHOOSE(CONTROL!$C$12, $D$11, 100%, $F$11)</f>
        <v>40.663899999999998</v>
      </c>
      <c r="D957" s="8">
        <f>CHOOSE( CONTROL!$C$29, 40.6418, 40.6375) * CHOOSE( CONTROL!$C$12, $D$11, 100%, $F$11)</f>
        <v>40.641800000000003</v>
      </c>
      <c r="E957" s="12">
        <f>CHOOSE( CONTROL!$C$29, 40.6482, 40.6439) * CHOOSE( CONTROL!$C$12, $D$11, 100%, $F$11)</f>
        <v>40.648200000000003</v>
      </c>
      <c r="F957" s="4">
        <f>CHOOSE( CONTROL!$C$29, 41.6283, 41.6241) * CHOOSE(CONTROL!$C$12, $D$11, 100%, $F$11)</f>
        <v>41.628300000000003</v>
      </c>
      <c r="G957" s="8">
        <f>CHOOSE( CONTROL!$C$29, 39.6037, 39.5996) * CHOOSE( CONTROL!$C$12, $D$11, 100%, $F$11)</f>
        <v>39.603700000000003</v>
      </c>
      <c r="H957" s="4">
        <f>CHOOSE( CONTROL!$C$29, 40.5018, 40.4977) * CHOOSE(CONTROL!$C$12, $D$11, 100%, $F$11)</f>
        <v>40.501800000000003</v>
      </c>
      <c r="I957" s="8">
        <f>CHOOSE( CONTROL!$C$29, 38.9955, 38.9915) * CHOOSE(CONTROL!$C$12, $D$11, 100%, $F$11)</f>
        <v>38.9955</v>
      </c>
      <c r="J957" s="4">
        <f>CHOOSE( CONTROL!$C$29, 38.9494, 38.9453) * CHOOSE(CONTROL!$C$12, $D$11, 100%, $F$11)</f>
        <v>38.949399999999997</v>
      </c>
      <c r="K957" s="4"/>
      <c r="L957" s="9">
        <v>29.520499999999998</v>
      </c>
      <c r="M957" s="9">
        <v>12.063700000000001</v>
      </c>
      <c r="N957" s="9">
        <v>4.9444999999999997</v>
      </c>
      <c r="O957" s="9">
        <v>0.37459999999999999</v>
      </c>
      <c r="P957" s="9">
        <v>1.2192000000000001</v>
      </c>
      <c r="Q957" s="9">
        <v>19.688099999999999</v>
      </c>
      <c r="R957" s="9"/>
      <c r="S957" s="11"/>
    </row>
    <row r="958" spans="1:19" ht="15.75">
      <c r="A958" s="13">
        <v>71040</v>
      </c>
      <c r="B958" s="8">
        <f>CHOOSE( CONTROL!$C$29, 40, 39.9957) * CHOOSE(CONTROL!$C$12, $D$11, 100%, $F$11)</f>
        <v>40</v>
      </c>
      <c r="C958" s="8">
        <f>CHOOSE( CONTROL!$C$29, 40.0104, 40.0062) * CHOOSE(CONTROL!$C$12, $D$11, 100%, $F$11)</f>
        <v>40.010399999999997</v>
      </c>
      <c r="D958" s="8">
        <f>CHOOSE( CONTROL!$C$29, 39.9827, 39.9785) * CHOOSE( CONTROL!$C$12, $D$11, 100%, $F$11)</f>
        <v>39.982700000000001</v>
      </c>
      <c r="E958" s="12">
        <f>CHOOSE( CONTROL!$C$29, 39.9912, 39.9869) * CHOOSE( CONTROL!$C$12, $D$11, 100%, $F$11)</f>
        <v>39.991199999999999</v>
      </c>
      <c r="F958" s="4">
        <f>CHOOSE( CONTROL!$C$29, 40.9644, 40.9602) * CHOOSE(CONTROL!$C$12, $D$11, 100%, $F$11)</f>
        <v>40.964399999999998</v>
      </c>
      <c r="G958" s="8">
        <f>CHOOSE( CONTROL!$C$29, 38.9655, 38.9614) * CHOOSE( CONTROL!$C$12, $D$11, 100%, $F$11)</f>
        <v>38.965499999999999</v>
      </c>
      <c r="H958" s="4">
        <f>CHOOSE( CONTROL!$C$29, 39.8547, 39.8506) * CHOOSE(CONTROL!$C$12, $D$11, 100%, $F$11)</f>
        <v>39.854700000000001</v>
      </c>
      <c r="I958" s="8">
        <f>CHOOSE( CONTROL!$C$29, 38.3712, 38.3672) * CHOOSE(CONTROL!$C$12, $D$11, 100%, $F$11)</f>
        <v>38.371200000000002</v>
      </c>
      <c r="J958" s="4">
        <f>CHOOSE( CONTROL!$C$29, 38.3232, 38.3191) * CHOOSE(CONTROL!$C$12, $D$11, 100%, $F$11)</f>
        <v>38.3232</v>
      </c>
      <c r="K958" s="4"/>
      <c r="L958" s="9">
        <v>28.568200000000001</v>
      </c>
      <c r="M958" s="9">
        <v>11.6745</v>
      </c>
      <c r="N958" s="9">
        <v>4.7850000000000001</v>
      </c>
      <c r="O958" s="9">
        <v>0.36249999999999999</v>
      </c>
      <c r="P958" s="9">
        <v>1.1798</v>
      </c>
      <c r="Q958" s="9">
        <v>19.053000000000001</v>
      </c>
      <c r="R958" s="9"/>
      <c r="S958" s="11"/>
    </row>
    <row r="959" spans="1:19" ht="15.75">
      <c r="A959" s="13">
        <v>71071</v>
      </c>
      <c r="B959" s="8">
        <f>CHOOSE( CONTROL!$C$29, 41.7208, 41.7165) * CHOOSE(CONTROL!$C$12, $D$11, 100%, $F$11)</f>
        <v>41.720799999999997</v>
      </c>
      <c r="C959" s="8">
        <f>CHOOSE( CONTROL!$C$29, 41.7312, 41.727) * CHOOSE(CONTROL!$C$12, $D$11, 100%, $F$11)</f>
        <v>41.731200000000001</v>
      </c>
      <c r="D959" s="8">
        <f>CHOOSE( CONTROL!$C$29, 41.7373, 41.7331) * CHOOSE( CONTROL!$C$12, $D$11, 100%, $F$11)</f>
        <v>41.737299999999998</v>
      </c>
      <c r="E959" s="12">
        <f>CHOOSE( CONTROL!$C$29, 41.7335, 41.7293) * CHOOSE( CONTROL!$C$12, $D$11, 100%, $F$11)</f>
        <v>41.733499999999999</v>
      </c>
      <c r="F959" s="4">
        <f>CHOOSE( CONTROL!$C$29, 42.7306, 42.7264) * CHOOSE(CONTROL!$C$12, $D$11, 100%, $F$11)</f>
        <v>42.730600000000003</v>
      </c>
      <c r="G959" s="8">
        <f>CHOOSE( CONTROL!$C$29, 40.669, 40.6648) * CHOOSE( CONTROL!$C$12, $D$11, 100%, $F$11)</f>
        <v>40.668999999999997</v>
      </c>
      <c r="H959" s="4">
        <f>CHOOSE( CONTROL!$C$29, 41.5763, 41.5722) * CHOOSE(CONTROL!$C$12, $D$11, 100%, $F$11)</f>
        <v>41.576300000000003</v>
      </c>
      <c r="I959" s="8">
        <f>CHOOSE( CONTROL!$C$29, 40.0762, 40.0722) * CHOOSE(CONTROL!$C$12, $D$11, 100%, $F$11)</f>
        <v>40.0762</v>
      </c>
      <c r="J959" s="4">
        <f>CHOOSE( CONTROL!$C$29, 39.9721, 39.968) * CHOOSE(CONTROL!$C$12, $D$11, 100%, $F$11)</f>
        <v>39.972099999999998</v>
      </c>
      <c r="K959" s="4"/>
      <c r="L959" s="9">
        <v>29.520499999999998</v>
      </c>
      <c r="M959" s="9">
        <v>12.063700000000001</v>
      </c>
      <c r="N959" s="9">
        <v>4.9444999999999997</v>
      </c>
      <c r="O959" s="9">
        <v>0.37459999999999999</v>
      </c>
      <c r="P959" s="9">
        <v>1.2192000000000001</v>
      </c>
      <c r="Q959" s="9">
        <v>19.688099999999999</v>
      </c>
      <c r="R959" s="9"/>
      <c r="S959" s="11"/>
    </row>
    <row r="960" spans="1:19" ht="15.75">
      <c r="A960" s="13">
        <v>71102</v>
      </c>
      <c r="B960" s="8">
        <f>CHOOSE( CONTROL!$C$29, 38.5009, 38.4967) * CHOOSE(CONTROL!$C$12, $D$11, 100%, $F$11)</f>
        <v>38.500900000000001</v>
      </c>
      <c r="C960" s="8">
        <f>CHOOSE( CONTROL!$C$29, 38.5114, 38.5071) * CHOOSE(CONTROL!$C$12, $D$11, 100%, $F$11)</f>
        <v>38.511400000000002</v>
      </c>
      <c r="D960" s="8">
        <f>CHOOSE( CONTROL!$C$29, 38.534, 38.5297) * CHOOSE( CONTROL!$C$12, $D$11, 100%, $F$11)</f>
        <v>38.533999999999999</v>
      </c>
      <c r="E960" s="12">
        <f>CHOOSE( CONTROL!$C$29, 38.5242, 38.5199) * CHOOSE( CONTROL!$C$12, $D$11, 100%, $F$11)</f>
        <v>38.5242</v>
      </c>
      <c r="F960" s="4">
        <f>CHOOSE( CONTROL!$C$29, 39.5395, 39.5353) * CHOOSE(CONTROL!$C$12, $D$11, 100%, $F$11)</f>
        <v>39.539499999999997</v>
      </c>
      <c r="G960" s="8">
        <f>CHOOSE( CONTROL!$C$29, 37.536, 37.5318) * CHOOSE( CONTROL!$C$12, $D$11, 100%, $F$11)</f>
        <v>37.536000000000001</v>
      </c>
      <c r="H960" s="4">
        <f>CHOOSE( CONTROL!$C$29, 38.4657, 38.4616) * CHOOSE(CONTROL!$C$12, $D$11, 100%, $F$11)</f>
        <v>38.465699999999998</v>
      </c>
      <c r="I960" s="8">
        <f>CHOOSE( CONTROL!$C$29, 36.9809, 36.9769) * CHOOSE(CONTROL!$C$12, $D$11, 100%, $F$11)</f>
        <v>36.980899999999998</v>
      </c>
      <c r="J960" s="4">
        <f>CHOOSE( CONTROL!$C$29, 36.8869, 36.8828) * CHOOSE(CONTROL!$C$12, $D$11, 100%, $F$11)</f>
        <v>36.886899999999997</v>
      </c>
      <c r="K960" s="4"/>
      <c r="L960" s="9">
        <v>29.520499999999998</v>
      </c>
      <c r="M960" s="9">
        <v>12.063700000000001</v>
      </c>
      <c r="N960" s="9">
        <v>4.9444999999999997</v>
      </c>
      <c r="O960" s="9">
        <v>0.37459999999999999</v>
      </c>
      <c r="P960" s="9">
        <v>1.2192000000000001</v>
      </c>
      <c r="Q960" s="9">
        <v>19.688099999999999</v>
      </c>
      <c r="R960" s="9"/>
      <c r="S960" s="11"/>
    </row>
    <row r="961" spans="1:19" ht="15.75">
      <c r="A961" s="13">
        <v>71132</v>
      </c>
      <c r="B961" s="8">
        <f>CHOOSE( CONTROL!$C$29, 37.6947, 37.6904) * CHOOSE(CONTROL!$C$12, $D$11, 100%, $F$11)</f>
        <v>37.694699999999997</v>
      </c>
      <c r="C961" s="8">
        <f>CHOOSE( CONTROL!$C$29, 37.7051, 37.7009) * CHOOSE(CONTROL!$C$12, $D$11, 100%, $F$11)</f>
        <v>37.705100000000002</v>
      </c>
      <c r="D961" s="8">
        <f>CHOOSE( CONTROL!$C$29, 37.7277, 37.7234) * CHOOSE( CONTROL!$C$12, $D$11, 100%, $F$11)</f>
        <v>37.727699999999999</v>
      </c>
      <c r="E961" s="12">
        <f>CHOOSE( CONTROL!$C$29, 37.7179, 37.7136) * CHOOSE( CONTROL!$C$12, $D$11, 100%, $F$11)</f>
        <v>37.7179</v>
      </c>
      <c r="F961" s="4">
        <f>CHOOSE( CONTROL!$C$29, 38.7332, 38.729) * CHOOSE(CONTROL!$C$12, $D$11, 100%, $F$11)</f>
        <v>38.733199999999997</v>
      </c>
      <c r="G961" s="8">
        <f>CHOOSE( CONTROL!$C$29, 36.7497, 36.7456) * CHOOSE( CONTROL!$C$12, $D$11, 100%, $F$11)</f>
        <v>36.749699999999997</v>
      </c>
      <c r="H961" s="4">
        <f>CHOOSE( CONTROL!$C$29, 37.6798, 37.6757) * CHOOSE(CONTROL!$C$12, $D$11, 100%, $F$11)</f>
        <v>37.6798</v>
      </c>
      <c r="I961" s="8">
        <f>CHOOSE( CONTROL!$C$29, 36.2062, 36.2022) * CHOOSE(CONTROL!$C$12, $D$11, 100%, $F$11)</f>
        <v>36.206200000000003</v>
      </c>
      <c r="J961" s="4">
        <f>CHOOSE( CONTROL!$C$29, 36.1143, 36.1102) * CHOOSE(CONTROL!$C$12, $D$11, 100%, $F$11)</f>
        <v>36.1143</v>
      </c>
      <c r="K961" s="4"/>
      <c r="L961" s="9">
        <v>28.568200000000001</v>
      </c>
      <c r="M961" s="9">
        <v>11.6745</v>
      </c>
      <c r="N961" s="9">
        <v>4.7850000000000001</v>
      </c>
      <c r="O961" s="9">
        <v>0.36249999999999999</v>
      </c>
      <c r="P961" s="9">
        <v>1.1798</v>
      </c>
      <c r="Q961" s="9">
        <v>19.053000000000001</v>
      </c>
      <c r="R961" s="9"/>
      <c r="S961" s="11"/>
    </row>
    <row r="962" spans="1:19" ht="15.75">
      <c r="A962" s="13">
        <v>71163</v>
      </c>
      <c r="B962" s="8">
        <f>39.3645 * CHOOSE(CONTROL!$C$12, $D$11, 100%, $F$11)</f>
        <v>39.3645</v>
      </c>
      <c r="C962" s="8">
        <f>39.375 * CHOOSE(CONTROL!$C$12, $D$11, 100%, $F$11)</f>
        <v>39.375</v>
      </c>
      <c r="D962" s="8">
        <f>39.3794 * CHOOSE( CONTROL!$C$12, $D$11, 100%, $F$11)</f>
        <v>39.379399999999997</v>
      </c>
      <c r="E962" s="12">
        <f>39.3768 * CHOOSE( CONTROL!$C$12, $D$11, 100%, $F$11)</f>
        <v>39.376800000000003</v>
      </c>
      <c r="F962" s="4">
        <f>40.3718 * CHOOSE(CONTROL!$C$12, $D$11, 100%, $F$11)</f>
        <v>40.3718</v>
      </c>
      <c r="G962" s="8">
        <f>38.3677 * CHOOSE( CONTROL!$C$12, $D$11, 100%, $F$11)</f>
        <v>38.367699999999999</v>
      </c>
      <c r="H962" s="4">
        <f>39.277 * CHOOSE(CONTROL!$C$12, $D$11, 100%, $F$11)</f>
        <v>39.277000000000001</v>
      </c>
      <c r="I962" s="8">
        <f>37.8038 * CHOOSE(CONTROL!$C$12, $D$11, 100%, $F$11)</f>
        <v>37.803800000000003</v>
      </c>
      <c r="J962" s="4">
        <f>37.7143 * CHOOSE(CONTROL!$C$12, $D$11, 100%, $F$11)</f>
        <v>37.714300000000001</v>
      </c>
      <c r="K962" s="4"/>
      <c r="L962" s="9">
        <v>28.921800000000001</v>
      </c>
      <c r="M962" s="9">
        <v>12.063700000000001</v>
      </c>
      <c r="N962" s="9">
        <v>4.9444999999999997</v>
      </c>
      <c r="O962" s="9">
        <v>0.37459999999999999</v>
      </c>
      <c r="P962" s="9">
        <v>1.2192000000000001</v>
      </c>
      <c r="Q962" s="9">
        <v>19.688099999999999</v>
      </c>
      <c r="R962" s="9"/>
      <c r="S962" s="11"/>
    </row>
    <row r="963" spans="1:19" ht="15.75">
      <c r="A963" s="13">
        <v>71193</v>
      </c>
      <c r="B963" s="8">
        <f>42.4546 * CHOOSE(CONTROL!$C$12, $D$11, 100%, $F$11)</f>
        <v>42.454599999999999</v>
      </c>
      <c r="C963" s="8">
        <f>42.4651 * CHOOSE(CONTROL!$C$12, $D$11, 100%, $F$11)</f>
        <v>42.4651</v>
      </c>
      <c r="D963" s="8">
        <f>42.4475 * CHOOSE( CONTROL!$C$12, $D$11, 100%, $F$11)</f>
        <v>42.447499999999998</v>
      </c>
      <c r="E963" s="12">
        <f>42.4528 * CHOOSE( CONTROL!$C$12, $D$11, 100%, $F$11)</f>
        <v>42.452800000000003</v>
      </c>
      <c r="F963" s="4">
        <f>43.4488 * CHOOSE(CONTROL!$C$12, $D$11, 100%, $F$11)</f>
        <v>43.448799999999999</v>
      </c>
      <c r="G963" s="8">
        <f>41.3923 * CHOOSE( CONTROL!$C$12, $D$11, 100%, $F$11)</f>
        <v>41.392299999999999</v>
      </c>
      <c r="H963" s="4">
        <f>42.2764 * CHOOSE(CONTROL!$C$12, $D$11, 100%, $F$11)</f>
        <v>42.276400000000002</v>
      </c>
      <c r="I963" s="8">
        <f>40.7896 * CHOOSE(CONTROL!$C$12, $D$11, 100%, $F$11)</f>
        <v>40.7896</v>
      </c>
      <c r="J963" s="4">
        <f>40.6753 * CHOOSE(CONTROL!$C$12, $D$11, 100%, $F$11)</f>
        <v>40.6753</v>
      </c>
      <c r="K963" s="4"/>
      <c r="L963" s="9">
        <v>26.515499999999999</v>
      </c>
      <c r="M963" s="9">
        <v>11.6745</v>
      </c>
      <c r="N963" s="9">
        <v>4.7850000000000001</v>
      </c>
      <c r="O963" s="9">
        <v>0.36249999999999999</v>
      </c>
      <c r="P963" s="9">
        <v>1.2522</v>
      </c>
      <c r="Q963" s="9">
        <v>19.053000000000001</v>
      </c>
      <c r="R963" s="9"/>
      <c r="S963" s="11"/>
    </row>
    <row r="964" spans="1:19" ht="15.75">
      <c r="A964" s="13">
        <v>71224</v>
      </c>
      <c r="B964" s="8">
        <f>42.3774 * CHOOSE(CONTROL!$C$12, $D$11, 100%, $F$11)</f>
        <v>42.377400000000002</v>
      </c>
      <c r="C964" s="8">
        <f>42.3879 * CHOOSE(CONTROL!$C$12, $D$11, 100%, $F$11)</f>
        <v>42.387900000000002</v>
      </c>
      <c r="D964" s="8">
        <f>42.3723 * CHOOSE( CONTROL!$C$12, $D$11, 100%, $F$11)</f>
        <v>42.372300000000003</v>
      </c>
      <c r="E964" s="12">
        <f>42.3769 * CHOOSE( CONTROL!$C$12, $D$11, 100%, $F$11)</f>
        <v>42.376899999999999</v>
      </c>
      <c r="F964" s="4">
        <f>43.3716 * CHOOSE(CONTROL!$C$12, $D$11, 100%, $F$11)</f>
        <v>43.371600000000001</v>
      </c>
      <c r="G964" s="8">
        <f>41.3186 * CHOOSE( CONTROL!$C$12, $D$11, 100%, $F$11)</f>
        <v>41.318600000000004</v>
      </c>
      <c r="H964" s="4">
        <f>42.2012 * CHOOSE(CONTROL!$C$12, $D$11, 100%, $F$11)</f>
        <v>42.2012</v>
      </c>
      <c r="I964" s="8">
        <f>40.7228 * CHOOSE(CONTROL!$C$12, $D$11, 100%, $F$11)</f>
        <v>40.722799999999999</v>
      </c>
      <c r="J964" s="4">
        <f>40.6013 * CHOOSE(CONTROL!$C$12, $D$11, 100%, $F$11)</f>
        <v>40.601300000000002</v>
      </c>
      <c r="K964" s="4"/>
      <c r="L964" s="9">
        <v>27.3993</v>
      </c>
      <c r="M964" s="9">
        <v>12.063700000000001</v>
      </c>
      <c r="N964" s="9">
        <v>4.9444999999999997</v>
      </c>
      <c r="O964" s="9">
        <v>0.37459999999999999</v>
      </c>
      <c r="P964" s="9">
        <v>1.2939000000000001</v>
      </c>
      <c r="Q964" s="9">
        <v>19.688099999999999</v>
      </c>
      <c r="R964" s="9"/>
      <c r="S964" s="11"/>
    </row>
    <row r="965" spans="1:19" ht="15.75">
      <c r="A965" s="13">
        <v>71255</v>
      </c>
      <c r="B965" s="8">
        <f>43.9969 * CHOOSE(CONTROL!$C$12, $D$11, 100%, $F$11)</f>
        <v>43.996899999999997</v>
      </c>
      <c r="C965" s="8">
        <f>44.0073 * CHOOSE(CONTROL!$C$12, $D$11, 100%, $F$11)</f>
        <v>44.007300000000001</v>
      </c>
      <c r="D965" s="8">
        <f>44.005 * CHOOSE( CONTROL!$C$12, $D$11, 100%, $F$11)</f>
        <v>44.005000000000003</v>
      </c>
      <c r="E965" s="12">
        <f>44.0047 * CHOOSE( CONTROL!$C$12, $D$11, 100%, $F$11)</f>
        <v>44.0047</v>
      </c>
      <c r="F965" s="4">
        <f>45.0198 * CHOOSE(CONTROL!$C$12, $D$11, 100%, $F$11)</f>
        <v>45.019799999999996</v>
      </c>
      <c r="G965" s="8">
        <f>42.9144 * CHOOSE( CONTROL!$C$12, $D$11, 100%, $F$11)</f>
        <v>42.914400000000001</v>
      </c>
      <c r="H965" s="4">
        <f>43.8077 * CHOOSE(CONTROL!$C$12, $D$11, 100%, $F$11)</f>
        <v>43.807699999999997</v>
      </c>
      <c r="I965" s="8">
        <f>42.2827 * CHOOSE(CONTROL!$C$12, $D$11, 100%, $F$11)</f>
        <v>42.282699999999998</v>
      </c>
      <c r="J965" s="4">
        <f>42.153 * CHOOSE(CONTROL!$C$12, $D$11, 100%, $F$11)</f>
        <v>42.152999999999999</v>
      </c>
      <c r="K965" s="4"/>
      <c r="L965" s="9">
        <v>27.3993</v>
      </c>
      <c r="M965" s="9">
        <v>12.063700000000001</v>
      </c>
      <c r="N965" s="9">
        <v>4.9444999999999997</v>
      </c>
      <c r="O965" s="9">
        <v>0.37459999999999999</v>
      </c>
      <c r="P965" s="9">
        <v>1.2939000000000001</v>
      </c>
      <c r="Q965" s="9">
        <v>19.688099999999999</v>
      </c>
      <c r="R965" s="9"/>
      <c r="S965" s="11"/>
    </row>
    <row r="966" spans="1:19" ht="15.75">
      <c r="A966" s="13">
        <v>71283</v>
      </c>
      <c r="B966" s="8">
        <f>41.1529 * CHOOSE(CONTROL!$C$12, $D$11, 100%, $F$11)</f>
        <v>41.152900000000002</v>
      </c>
      <c r="C966" s="8">
        <f>41.1633 * CHOOSE(CONTROL!$C$12, $D$11, 100%, $F$11)</f>
        <v>41.1633</v>
      </c>
      <c r="D966" s="8">
        <f>41.1633 * CHOOSE( CONTROL!$C$12, $D$11, 100%, $F$11)</f>
        <v>41.1633</v>
      </c>
      <c r="E966" s="12">
        <f>41.1622 * CHOOSE( CONTROL!$C$12, $D$11, 100%, $F$11)</f>
        <v>41.162199999999999</v>
      </c>
      <c r="F966" s="4">
        <f>42.168 * CHOOSE(CONTROL!$C$12, $D$11, 100%, $F$11)</f>
        <v>42.167999999999999</v>
      </c>
      <c r="G966" s="8">
        <f>40.142 * CHOOSE( CONTROL!$C$12, $D$11, 100%, $F$11)</f>
        <v>40.142000000000003</v>
      </c>
      <c r="H966" s="4">
        <f>41.0279 * CHOOSE(CONTROL!$C$12, $D$11, 100%, $F$11)</f>
        <v>41.027900000000002</v>
      </c>
      <c r="I966" s="8">
        <f>39.5453 * CHOOSE(CONTROL!$C$12, $D$11, 100%, $F$11)</f>
        <v>39.545299999999997</v>
      </c>
      <c r="J966" s="4">
        <f>39.4279 * CHOOSE(CONTROL!$C$12, $D$11, 100%, $F$11)</f>
        <v>39.427900000000001</v>
      </c>
      <c r="K966" s="4"/>
      <c r="L966" s="9">
        <v>24.747800000000002</v>
      </c>
      <c r="M966" s="9">
        <v>10.8962</v>
      </c>
      <c r="N966" s="9">
        <v>4.4660000000000002</v>
      </c>
      <c r="O966" s="9">
        <v>0.33829999999999999</v>
      </c>
      <c r="P966" s="9">
        <v>1.1687000000000001</v>
      </c>
      <c r="Q966" s="9">
        <v>17.782800000000002</v>
      </c>
      <c r="R966" s="9"/>
      <c r="S966" s="11"/>
    </row>
    <row r="967" spans="1:19" ht="15.75">
      <c r="A967" s="13">
        <v>71314</v>
      </c>
      <c r="B967" s="8">
        <f>40.2769 * CHOOSE(CONTROL!$C$12, $D$11, 100%, $F$11)</f>
        <v>40.276899999999998</v>
      </c>
      <c r="C967" s="8">
        <f>40.2874 * CHOOSE(CONTROL!$C$12, $D$11, 100%, $F$11)</f>
        <v>40.287399999999998</v>
      </c>
      <c r="D967" s="8">
        <f>40.2672 * CHOOSE( CONTROL!$C$12, $D$11, 100%, $F$11)</f>
        <v>40.267200000000003</v>
      </c>
      <c r="E967" s="12">
        <f>40.2735 * CHOOSE( CONTROL!$C$12, $D$11, 100%, $F$11)</f>
        <v>40.273499999999999</v>
      </c>
      <c r="F967" s="4">
        <f>41.2758 * CHOOSE(CONTROL!$C$12, $D$11, 100%, $F$11)</f>
        <v>41.275799999999997</v>
      </c>
      <c r="G967" s="8">
        <f>39.2676 * CHOOSE( CONTROL!$C$12, $D$11, 100%, $F$11)</f>
        <v>39.267600000000002</v>
      </c>
      <c r="H967" s="4">
        <f>40.1582 * CHOOSE(CONTROL!$C$12, $D$11, 100%, $F$11)</f>
        <v>40.158200000000001</v>
      </c>
      <c r="I967" s="8">
        <f>38.666 * CHOOSE(CONTROL!$C$12, $D$11, 100%, $F$11)</f>
        <v>38.665999999999997</v>
      </c>
      <c r="J967" s="4">
        <f>38.5886 * CHOOSE(CONTROL!$C$12, $D$11, 100%, $F$11)</f>
        <v>38.5886</v>
      </c>
      <c r="K967" s="4"/>
      <c r="L967" s="9">
        <v>27.3993</v>
      </c>
      <c r="M967" s="9">
        <v>12.063700000000001</v>
      </c>
      <c r="N967" s="9">
        <v>4.9444999999999997</v>
      </c>
      <c r="O967" s="9">
        <v>0.37459999999999999</v>
      </c>
      <c r="P967" s="9">
        <v>1.2939000000000001</v>
      </c>
      <c r="Q967" s="9">
        <v>19.688099999999999</v>
      </c>
      <c r="R967" s="9"/>
      <c r="S967" s="11"/>
    </row>
    <row r="968" spans="1:19" ht="15.75">
      <c r="A968" s="13">
        <v>71344</v>
      </c>
      <c r="B968" s="8">
        <f>40.889 * CHOOSE(CONTROL!$C$12, $D$11, 100%, $F$11)</f>
        <v>40.889000000000003</v>
      </c>
      <c r="C968" s="8">
        <f>40.8995 * CHOOSE(CONTROL!$C$12, $D$11, 100%, $F$11)</f>
        <v>40.899500000000003</v>
      </c>
      <c r="D968" s="8">
        <f>40.9027 * CHOOSE( CONTROL!$C$12, $D$11, 100%, $F$11)</f>
        <v>40.902700000000003</v>
      </c>
      <c r="E968" s="12">
        <f>40.9004 * CHOOSE( CONTROL!$C$12, $D$11, 100%, $F$11)</f>
        <v>40.900399999999998</v>
      </c>
      <c r="F968" s="4">
        <f>41.8963 * CHOOSE(CONTROL!$C$12, $D$11, 100%, $F$11)</f>
        <v>41.896299999999997</v>
      </c>
      <c r="G968" s="8">
        <f>39.8522 * CHOOSE( CONTROL!$C$12, $D$11, 100%, $F$11)</f>
        <v>39.852200000000003</v>
      </c>
      <c r="H968" s="4">
        <f>40.763 * CHOOSE(CONTROL!$C$12, $D$11, 100%, $F$11)</f>
        <v>40.762999999999998</v>
      </c>
      <c r="I968" s="8">
        <f>39.2429 * CHOOSE(CONTROL!$C$12, $D$11, 100%, $F$11)</f>
        <v>39.242899999999999</v>
      </c>
      <c r="J968" s="4">
        <f>39.1751 * CHOOSE(CONTROL!$C$12, $D$11, 100%, $F$11)</f>
        <v>39.1751</v>
      </c>
      <c r="K968" s="4"/>
      <c r="L968" s="9">
        <v>27.988800000000001</v>
      </c>
      <c r="M968" s="9">
        <v>11.6745</v>
      </c>
      <c r="N968" s="9">
        <v>4.7850000000000001</v>
      </c>
      <c r="O968" s="9">
        <v>0.36249999999999999</v>
      </c>
      <c r="P968" s="9">
        <v>1.1798</v>
      </c>
      <c r="Q968" s="9">
        <v>19.053000000000001</v>
      </c>
      <c r="R968" s="9"/>
      <c r="S968" s="11"/>
    </row>
    <row r="969" spans="1:19" ht="15.75">
      <c r="A969" s="13">
        <v>71375</v>
      </c>
      <c r="B969" s="8">
        <f>CHOOSE( CONTROL!$C$29, 41.9826, 41.9784) * CHOOSE(CONTROL!$C$12, $D$11, 100%, $F$11)</f>
        <v>41.982599999999998</v>
      </c>
      <c r="C969" s="8">
        <f>CHOOSE( CONTROL!$C$29, 41.9931, 41.9888) * CHOOSE(CONTROL!$C$12, $D$11, 100%, $F$11)</f>
        <v>41.993099999999998</v>
      </c>
      <c r="D969" s="8">
        <f>CHOOSE( CONTROL!$C$29, 41.971, 41.9668) * CHOOSE( CONTROL!$C$12, $D$11, 100%, $F$11)</f>
        <v>41.970999999999997</v>
      </c>
      <c r="E969" s="12">
        <f>CHOOSE( CONTROL!$C$29, 41.9774, 41.9732) * CHOOSE( CONTROL!$C$12, $D$11, 100%, $F$11)</f>
        <v>41.977400000000003</v>
      </c>
      <c r="F969" s="4">
        <f>CHOOSE( CONTROL!$C$29, 42.9575, 42.9533) * CHOOSE(CONTROL!$C$12, $D$11, 100%, $F$11)</f>
        <v>42.957500000000003</v>
      </c>
      <c r="G969" s="8">
        <f>CHOOSE( CONTROL!$C$29, 40.8994, 40.8953) * CHOOSE( CONTROL!$C$12, $D$11, 100%, $F$11)</f>
        <v>40.8994</v>
      </c>
      <c r="H969" s="4">
        <f>CHOOSE( CONTROL!$C$29, 41.7975, 41.7934) * CHOOSE(CONTROL!$C$12, $D$11, 100%, $F$11)</f>
        <v>41.797499999999999</v>
      </c>
      <c r="I969" s="8">
        <f>CHOOSE( CONTROL!$C$29, 40.2698, 40.2658) * CHOOSE(CONTROL!$C$12, $D$11, 100%, $F$11)</f>
        <v>40.269799999999996</v>
      </c>
      <c r="J969" s="4">
        <f>CHOOSE( CONTROL!$C$29, 40.223, 40.2189) * CHOOSE(CONTROL!$C$12, $D$11, 100%, $F$11)</f>
        <v>40.222999999999999</v>
      </c>
      <c r="K969" s="4"/>
      <c r="L969" s="9">
        <v>29.520499999999998</v>
      </c>
      <c r="M969" s="9">
        <v>12.063700000000001</v>
      </c>
      <c r="N969" s="9">
        <v>4.9444999999999997</v>
      </c>
      <c r="O969" s="9">
        <v>0.37459999999999999</v>
      </c>
      <c r="P969" s="9">
        <v>1.2192000000000001</v>
      </c>
      <c r="Q969" s="9">
        <v>19.688099999999999</v>
      </c>
      <c r="R969" s="9"/>
      <c r="S969" s="11"/>
    </row>
    <row r="970" spans="1:19" ht="15.75">
      <c r="A970" s="13">
        <v>71405</v>
      </c>
      <c r="B970" s="8">
        <f>CHOOSE( CONTROL!$C$29, 41.3078, 41.3036) * CHOOSE(CONTROL!$C$12, $D$11, 100%, $F$11)</f>
        <v>41.3078</v>
      </c>
      <c r="C970" s="8">
        <f>CHOOSE( CONTROL!$C$29, 41.3182, 41.314) * CHOOSE(CONTROL!$C$12, $D$11, 100%, $F$11)</f>
        <v>41.318199999999997</v>
      </c>
      <c r="D970" s="8">
        <f>CHOOSE( CONTROL!$C$29, 41.2906, 41.2863) * CHOOSE( CONTROL!$C$12, $D$11, 100%, $F$11)</f>
        <v>41.290599999999998</v>
      </c>
      <c r="E970" s="12">
        <f>CHOOSE( CONTROL!$C$29, 41.299, 41.2948) * CHOOSE( CONTROL!$C$12, $D$11, 100%, $F$11)</f>
        <v>41.298999999999999</v>
      </c>
      <c r="F970" s="4">
        <f>CHOOSE( CONTROL!$C$29, 42.2723, 42.268) * CHOOSE(CONTROL!$C$12, $D$11, 100%, $F$11)</f>
        <v>42.272300000000001</v>
      </c>
      <c r="G970" s="8">
        <f>CHOOSE( CONTROL!$C$29, 40.2404, 40.2362) * CHOOSE( CONTROL!$C$12, $D$11, 100%, $F$11)</f>
        <v>40.240400000000001</v>
      </c>
      <c r="H970" s="4">
        <f>CHOOSE( CONTROL!$C$29, 41.1295, 41.1254) * CHOOSE(CONTROL!$C$12, $D$11, 100%, $F$11)</f>
        <v>41.1295</v>
      </c>
      <c r="I970" s="8">
        <f>CHOOSE( CONTROL!$C$29, 39.625, 39.621) * CHOOSE(CONTROL!$C$12, $D$11, 100%, $F$11)</f>
        <v>39.625</v>
      </c>
      <c r="J970" s="4">
        <f>CHOOSE( CONTROL!$C$29, 39.5764, 39.5723) * CHOOSE(CONTROL!$C$12, $D$11, 100%, $F$11)</f>
        <v>39.5764</v>
      </c>
      <c r="K970" s="4"/>
      <c r="L970" s="9">
        <v>28.568200000000001</v>
      </c>
      <c r="M970" s="9">
        <v>11.6745</v>
      </c>
      <c r="N970" s="9">
        <v>4.7850000000000001</v>
      </c>
      <c r="O970" s="9">
        <v>0.36249999999999999</v>
      </c>
      <c r="P970" s="9">
        <v>1.1798</v>
      </c>
      <c r="Q970" s="9">
        <v>19.053000000000001</v>
      </c>
      <c r="R970" s="9"/>
      <c r="S970" s="11"/>
    </row>
    <row r="971" spans="1:19" ht="15.75">
      <c r="A971" s="13">
        <v>71436</v>
      </c>
      <c r="B971" s="8">
        <f>CHOOSE( CONTROL!$C$29, 43.0849, 43.0807) * CHOOSE(CONTROL!$C$12, $D$11, 100%, $F$11)</f>
        <v>43.084899999999998</v>
      </c>
      <c r="C971" s="8">
        <f>CHOOSE( CONTROL!$C$29, 43.0953, 43.0911) * CHOOSE(CONTROL!$C$12, $D$11, 100%, $F$11)</f>
        <v>43.095300000000002</v>
      </c>
      <c r="D971" s="8">
        <f>CHOOSE( CONTROL!$C$29, 43.1015, 43.0972) * CHOOSE( CONTROL!$C$12, $D$11, 100%, $F$11)</f>
        <v>43.101500000000001</v>
      </c>
      <c r="E971" s="12">
        <f>CHOOSE( CONTROL!$C$29, 43.0977, 43.0934) * CHOOSE( CONTROL!$C$12, $D$11, 100%, $F$11)</f>
        <v>43.097700000000003</v>
      </c>
      <c r="F971" s="4">
        <f>CHOOSE( CONTROL!$C$29, 44.0948, 44.0905) * CHOOSE(CONTROL!$C$12, $D$11, 100%, $F$11)</f>
        <v>44.094799999999999</v>
      </c>
      <c r="G971" s="8">
        <f>CHOOSE( CONTROL!$C$29, 41.9987, 41.9945) * CHOOSE( CONTROL!$C$12, $D$11, 100%, $F$11)</f>
        <v>41.998699999999999</v>
      </c>
      <c r="H971" s="4">
        <f>CHOOSE( CONTROL!$C$29, 42.9061, 42.9019) * CHOOSE(CONTROL!$C$12, $D$11, 100%, $F$11)</f>
        <v>42.906100000000002</v>
      </c>
      <c r="I971" s="8">
        <f>CHOOSE( CONTROL!$C$29, 41.384, 41.3799) * CHOOSE(CONTROL!$C$12, $D$11, 100%, $F$11)</f>
        <v>41.384</v>
      </c>
      <c r="J971" s="4">
        <f>CHOOSE( CONTROL!$C$29, 41.2792, 41.2751) * CHOOSE(CONTROL!$C$12, $D$11, 100%, $F$11)</f>
        <v>41.279200000000003</v>
      </c>
      <c r="K971" s="4"/>
      <c r="L971" s="9">
        <v>29.520499999999998</v>
      </c>
      <c r="M971" s="9">
        <v>12.063700000000001</v>
      </c>
      <c r="N971" s="9">
        <v>4.9444999999999997</v>
      </c>
      <c r="O971" s="9">
        <v>0.37459999999999999</v>
      </c>
      <c r="P971" s="9">
        <v>1.2192000000000001</v>
      </c>
      <c r="Q971" s="9">
        <v>19.688099999999999</v>
      </c>
      <c r="R971" s="9"/>
      <c r="S971" s="11"/>
    </row>
    <row r="972" spans="1:19" ht="15.75">
      <c r="A972" s="13">
        <v>71467</v>
      </c>
      <c r="B972" s="8">
        <f>CHOOSE( CONTROL!$C$29, 39.7598, 39.7555) * CHOOSE(CONTROL!$C$12, $D$11, 100%, $F$11)</f>
        <v>39.759799999999998</v>
      </c>
      <c r="C972" s="8">
        <f>CHOOSE( CONTROL!$C$29, 39.7702, 39.766) * CHOOSE(CONTROL!$C$12, $D$11, 100%, $F$11)</f>
        <v>39.770200000000003</v>
      </c>
      <c r="D972" s="8">
        <f>CHOOSE( CONTROL!$C$29, 39.7928, 39.7886) * CHOOSE( CONTROL!$C$12, $D$11, 100%, $F$11)</f>
        <v>39.7928</v>
      </c>
      <c r="E972" s="12">
        <f>CHOOSE( CONTROL!$C$29, 39.783, 39.7788) * CHOOSE( CONTROL!$C$12, $D$11, 100%, $F$11)</f>
        <v>39.783000000000001</v>
      </c>
      <c r="F972" s="4">
        <f>CHOOSE( CONTROL!$C$29, 40.7983, 40.7941) * CHOOSE(CONTROL!$C$12, $D$11, 100%, $F$11)</f>
        <v>40.798299999999998</v>
      </c>
      <c r="G972" s="8">
        <f>CHOOSE( CONTROL!$C$29, 38.763, 38.7589) * CHOOSE( CONTROL!$C$12, $D$11, 100%, $F$11)</f>
        <v>38.762999999999998</v>
      </c>
      <c r="H972" s="4">
        <f>CHOOSE( CONTROL!$C$29, 39.6928, 39.6887) * CHOOSE(CONTROL!$C$12, $D$11, 100%, $F$11)</f>
        <v>39.692799999999998</v>
      </c>
      <c r="I972" s="8">
        <f>CHOOSE( CONTROL!$C$29, 38.1877, 38.1837) * CHOOSE(CONTROL!$C$12, $D$11, 100%, $F$11)</f>
        <v>38.1877</v>
      </c>
      <c r="J972" s="4">
        <f>CHOOSE( CONTROL!$C$29, 38.0931, 38.089) * CHOOSE(CONTROL!$C$12, $D$11, 100%, $F$11)</f>
        <v>38.0931</v>
      </c>
      <c r="K972" s="4"/>
      <c r="L972" s="9">
        <v>29.520499999999998</v>
      </c>
      <c r="M972" s="9">
        <v>12.063700000000001</v>
      </c>
      <c r="N972" s="9">
        <v>4.9444999999999997</v>
      </c>
      <c r="O972" s="9">
        <v>0.37459999999999999</v>
      </c>
      <c r="P972" s="9">
        <v>1.2192000000000001</v>
      </c>
      <c r="Q972" s="9">
        <v>19.688099999999999</v>
      </c>
      <c r="R972" s="9"/>
      <c r="S972" s="11"/>
    </row>
    <row r="973" spans="1:19" ht="15.75">
      <c r="A973" s="13">
        <v>71497</v>
      </c>
      <c r="B973" s="8">
        <f>CHOOSE( CONTROL!$C$29, 38.9271, 38.9229) * CHOOSE(CONTROL!$C$12, $D$11, 100%, $F$11)</f>
        <v>38.927100000000003</v>
      </c>
      <c r="C973" s="8">
        <f>CHOOSE( CONTROL!$C$29, 38.9376, 38.9333) * CHOOSE(CONTROL!$C$12, $D$11, 100%, $F$11)</f>
        <v>38.937600000000003</v>
      </c>
      <c r="D973" s="8">
        <f>CHOOSE( CONTROL!$C$29, 38.9601, 38.9559) * CHOOSE( CONTROL!$C$12, $D$11, 100%, $F$11)</f>
        <v>38.960099999999997</v>
      </c>
      <c r="E973" s="12">
        <f>CHOOSE( CONTROL!$C$29, 38.9503, 38.9461) * CHOOSE( CONTROL!$C$12, $D$11, 100%, $F$11)</f>
        <v>38.950299999999999</v>
      </c>
      <c r="F973" s="4">
        <f>CHOOSE( CONTROL!$C$29, 39.9657, 39.9614) * CHOOSE(CONTROL!$C$12, $D$11, 100%, $F$11)</f>
        <v>39.965699999999998</v>
      </c>
      <c r="G973" s="8">
        <f>CHOOSE( CONTROL!$C$29, 37.9511, 37.9469) * CHOOSE( CONTROL!$C$12, $D$11, 100%, $F$11)</f>
        <v>37.951099999999997</v>
      </c>
      <c r="H973" s="4">
        <f>CHOOSE( CONTROL!$C$29, 38.8811, 38.877) * CHOOSE(CONTROL!$C$12, $D$11, 100%, $F$11)</f>
        <v>38.881100000000004</v>
      </c>
      <c r="I973" s="8">
        <f>CHOOSE( CONTROL!$C$29, 37.3878, 37.3837) * CHOOSE(CONTROL!$C$12, $D$11, 100%, $F$11)</f>
        <v>37.387799999999999</v>
      </c>
      <c r="J973" s="4">
        <f>CHOOSE( CONTROL!$C$29, 37.2952, 37.2911) * CHOOSE(CONTROL!$C$12, $D$11, 100%, $F$11)</f>
        <v>37.295200000000001</v>
      </c>
      <c r="K973" s="4"/>
      <c r="L973" s="9">
        <v>28.568200000000001</v>
      </c>
      <c r="M973" s="9">
        <v>11.6745</v>
      </c>
      <c r="N973" s="9">
        <v>4.7850000000000001</v>
      </c>
      <c r="O973" s="9">
        <v>0.36249999999999999</v>
      </c>
      <c r="P973" s="9">
        <v>1.1798</v>
      </c>
      <c r="Q973" s="9">
        <v>19.053000000000001</v>
      </c>
      <c r="R973" s="9"/>
      <c r="S973" s="11"/>
    </row>
    <row r="974" spans="1:19" ht="15.75">
      <c r="A974" s="13">
        <v>71528</v>
      </c>
      <c r="B974" s="8">
        <f>40.6517 * CHOOSE(CONTROL!$C$12, $D$11, 100%, $F$11)</f>
        <v>40.651699999999998</v>
      </c>
      <c r="C974" s="8">
        <f>40.6622 * CHOOSE(CONTROL!$C$12, $D$11, 100%, $F$11)</f>
        <v>40.662199999999999</v>
      </c>
      <c r="D974" s="8">
        <f>40.6666 * CHOOSE( CONTROL!$C$12, $D$11, 100%, $F$11)</f>
        <v>40.666600000000003</v>
      </c>
      <c r="E974" s="12">
        <f>40.664 * CHOOSE( CONTROL!$C$12, $D$11, 100%, $F$11)</f>
        <v>40.664000000000001</v>
      </c>
      <c r="F974" s="4">
        <f>41.659 * CHOOSE(CONTROL!$C$12, $D$11, 100%, $F$11)</f>
        <v>41.658999999999999</v>
      </c>
      <c r="G974" s="8">
        <f>39.6225 * CHOOSE( CONTROL!$C$12, $D$11, 100%, $F$11)</f>
        <v>39.622500000000002</v>
      </c>
      <c r="H974" s="4">
        <f>40.5317 * CHOOSE(CONTROL!$C$12, $D$11, 100%, $F$11)</f>
        <v>40.531700000000001</v>
      </c>
      <c r="I974" s="8">
        <f>39.0378 * CHOOSE(CONTROL!$C$12, $D$11, 100%, $F$11)</f>
        <v>39.037799999999997</v>
      </c>
      <c r="J974" s="4">
        <f>38.9477 * CHOOSE(CONTROL!$C$12, $D$11, 100%, $F$11)</f>
        <v>38.947699999999998</v>
      </c>
      <c r="K974" s="4"/>
      <c r="L974" s="9">
        <v>28.921800000000001</v>
      </c>
      <c r="M974" s="9">
        <v>12.063700000000001</v>
      </c>
      <c r="N974" s="9">
        <v>4.9444999999999997</v>
      </c>
      <c r="O974" s="9">
        <v>0.37459999999999999</v>
      </c>
      <c r="P974" s="9">
        <v>1.2192000000000001</v>
      </c>
      <c r="Q974" s="9">
        <v>19.688099999999999</v>
      </c>
      <c r="R974" s="9"/>
      <c r="S974" s="11"/>
    </row>
    <row r="975" spans="1:19" ht="15.75">
      <c r="A975" s="13">
        <v>71558</v>
      </c>
      <c r="B975" s="8">
        <f>43.8429 * CHOOSE(CONTROL!$C$12, $D$11, 100%, $F$11)</f>
        <v>43.8429</v>
      </c>
      <c r="C975" s="8">
        <f>43.8533 * CHOOSE(CONTROL!$C$12, $D$11, 100%, $F$11)</f>
        <v>43.853299999999997</v>
      </c>
      <c r="D975" s="8">
        <f>43.8357 * CHOOSE( CONTROL!$C$12, $D$11, 100%, $F$11)</f>
        <v>43.835700000000003</v>
      </c>
      <c r="E975" s="12">
        <f>43.841 * CHOOSE( CONTROL!$C$12, $D$11, 100%, $F$11)</f>
        <v>43.841000000000001</v>
      </c>
      <c r="F975" s="4">
        <f>44.8371 * CHOOSE(CONTROL!$C$12, $D$11, 100%, $F$11)</f>
        <v>44.8371</v>
      </c>
      <c r="G975" s="8">
        <f>42.7456 * CHOOSE( CONTROL!$C$12, $D$11, 100%, $F$11)</f>
        <v>42.745600000000003</v>
      </c>
      <c r="H975" s="4">
        <f>43.6297 * CHOOSE(CONTROL!$C$12, $D$11, 100%, $F$11)</f>
        <v>43.6297</v>
      </c>
      <c r="I975" s="8">
        <f>42.1205 * CHOOSE(CONTROL!$C$12, $D$11, 100%, $F$11)</f>
        <v>42.1205</v>
      </c>
      <c r="J975" s="4">
        <f>42.0055 * CHOOSE(CONTROL!$C$12, $D$11, 100%, $F$11)</f>
        <v>42.005499999999998</v>
      </c>
      <c r="K975" s="4"/>
      <c r="L975" s="9">
        <v>26.515499999999999</v>
      </c>
      <c r="M975" s="9">
        <v>11.6745</v>
      </c>
      <c r="N975" s="9">
        <v>4.7850000000000001</v>
      </c>
      <c r="O975" s="9">
        <v>0.36249999999999999</v>
      </c>
      <c r="P975" s="9">
        <v>1.2522</v>
      </c>
      <c r="Q975" s="9">
        <v>19.053000000000001</v>
      </c>
      <c r="R975" s="9"/>
      <c r="S975" s="11"/>
    </row>
    <row r="976" spans="1:19" ht="15.75">
      <c r="A976" s="13">
        <v>71589</v>
      </c>
      <c r="B976" s="8">
        <f>43.7632 * CHOOSE(CONTROL!$C$12, $D$11, 100%, $F$11)</f>
        <v>43.763199999999998</v>
      </c>
      <c r="C976" s="8">
        <f>43.7736 * CHOOSE(CONTROL!$C$12, $D$11, 100%, $F$11)</f>
        <v>43.773600000000002</v>
      </c>
      <c r="D976" s="8">
        <f>43.758 * CHOOSE( CONTROL!$C$12, $D$11, 100%, $F$11)</f>
        <v>43.758000000000003</v>
      </c>
      <c r="E976" s="12">
        <f>43.7626 * CHOOSE( CONTROL!$C$12, $D$11, 100%, $F$11)</f>
        <v>43.762599999999999</v>
      </c>
      <c r="F976" s="4">
        <f>44.7574 * CHOOSE(CONTROL!$C$12, $D$11, 100%, $F$11)</f>
        <v>44.757399999999997</v>
      </c>
      <c r="G976" s="8">
        <f>42.6694 * CHOOSE( CONTROL!$C$12, $D$11, 100%, $F$11)</f>
        <v>42.669400000000003</v>
      </c>
      <c r="H976" s="4">
        <f>43.5519 * CHOOSE(CONTROL!$C$12, $D$11, 100%, $F$11)</f>
        <v>43.551900000000003</v>
      </c>
      <c r="I976" s="8">
        <f>42.0513 * CHOOSE(CONTROL!$C$12, $D$11, 100%, $F$11)</f>
        <v>42.051299999999998</v>
      </c>
      <c r="J976" s="4">
        <f>41.9291 * CHOOSE(CONTROL!$C$12, $D$11, 100%, $F$11)</f>
        <v>41.929099999999998</v>
      </c>
      <c r="K976" s="4"/>
      <c r="L976" s="9">
        <v>27.3993</v>
      </c>
      <c r="M976" s="9">
        <v>12.063700000000001</v>
      </c>
      <c r="N976" s="9">
        <v>4.9444999999999997</v>
      </c>
      <c r="O976" s="9">
        <v>0.37459999999999999</v>
      </c>
      <c r="P976" s="9">
        <v>1.2939000000000001</v>
      </c>
      <c r="Q976" s="9">
        <v>19.688099999999999</v>
      </c>
      <c r="R976" s="9"/>
      <c r="S976" s="11"/>
    </row>
    <row r="977" spans="1:19" ht="15.75">
      <c r="A977" s="13">
        <v>71620</v>
      </c>
      <c r="B977" s="8">
        <f>45.4356 * CHOOSE(CONTROL!$C$12, $D$11, 100%, $F$11)</f>
        <v>45.435600000000001</v>
      </c>
      <c r="C977" s="8">
        <f>45.446 * CHOOSE(CONTROL!$C$12, $D$11, 100%, $F$11)</f>
        <v>45.445999999999998</v>
      </c>
      <c r="D977" s="8">
        <f>45.4437 * CHOOSE( CONTROL!$C$12, $D$11, 100%, $F$11)</f>
        <v>45.4437</v>
      </c>
      <c r="E977" s="12">
        <f>45.4434 * CHOOSE( CONTROL!$C$12, $D$11, 100%, $F$11)</f>
        <v>45.443399999999997</v>
      </c>
      <c r="F977" s="4">
        <f>46.4585 * CHOOSE(CONTROL!$C$12, $D$11, 100%, $F$11)</f>
        <v>46.458500000000001</v>
      </c>
      <c r="G977" s="8">
        <f>44.3168 * CHOOSE( CONTROL!$C$12, $D$11, 100%, $F$11)</f>
        <v>44.316800000000001</v>
      </c>
      <c r="H977" s="4">
        <f>45.2101 * CHOOSE(CONTROL!$C$12, $D$11, 100%, $F$11)</f>
        <v>45.210099999999997</v>
      </c>
      <c r="I977" s="8">
        <f>43.662 * CHOOSE(CONTROL!$C$12, $D$11, 100%, $F$11)</f>
        <v>43.661999999999999</v>
      </c>
      <c r="J977" s="4">
        <f>43.5316 * CHOOSE(CONTROL!$C$12, $D$11, 100%, $F$11)</f>
        <v>43.531599999999997</v>
      </c>
      <c r="K977" s="4"/>
      <c r="L977" s="9">
        <v>27.3993</v>
      </c>
      <c r="M977" s="9">
        <v>12.063700000000001</v>
      </c>
      <c r="N977" s="9">
        <v>4.9444999999999997</v>
      </c>
      <c r="O977" s="9">
        <v>0.37459999999999999</v>
      </c>
      <c r="P977" s="9">
        <v>1.2939000000000001</v>
      </c>
      <c r="Q977" s="9">
        <v>19.688099999999999</v>
      </c>
      <c r="R977" s="9"/>
      <c r="S977" s="11"/>
    </row>
    <row r="978" spans="1:19" ht="15.75">
      <c r="A978" s="13">
        <v>71649</v>
      </c>
      <c r="B978" s="8">
        <f>42.4986 * CHOOSE(CONTROL!$C$12, $D$11, 100%, $F$11)</f>
        <v>42.498600000000003</v>
      </c>
      <c r="C978" s="8">
        <f>42.509 * CHOOSE(CONTROL!$C$12, $D$11, 100%, $F$11)</f>
        <v>42.509</v>
      </c>
      <c r="D978" s="8">
        <f>42.509 * CHOOSE( CONTROL!$C$12, $D$11, 100%, $F$11)</f>
        <v>42.509</v>
      </c>
      <c r="E978" s="12">
        <f>42.5079 * CHOOSE( CONTROL!$C$12, $D$11, 100%, $F$11)</f>
        <v>42.507899999999999</v>
      </c>
      <c r="F978" s="4">
        <f>43.5136 * CHOOSE(CONTROL!$C$12, $D$11, 100%, $F$11)</f>
        <v>43.513599999999997</v>
      </c>
      <c r="G978" s="8">
        <f>41.4537 * CHOOSE( CONTROL!$C$12, $D$11, 100%, $F$11)</f>
        <v>41.453699999999998</v>
      </c>
      <c r="H978" s="4">
        <f>42.3396 * CHOOSE(CONTROL!$C$12, $D$11, 100%, $F$11)</f>
        <v>42.339599999999997</v>
      </c>
      <c r="I978" s="8">
        <f>40.8354 * CHOOSE(CONTROL!$C$12, $D$11, 100%, $F$11)</f>
        <v>40.8354</v>
      </c>
      <c r="J978" s="4">
        <f>40.7174 * CHOOSE(CONTROL!$C$12, $D$11, 100%, $F$11)</f>
        <v>40.717399999999998</v>
      </c>
      <c r="K978" s="4"/>
      <c r="L978" s="9">
        <v>25.631599999999999</v>
      </c>
      <c r="M978" s="9">
        <v>11.285299999999999</v>
      </c>
      <c r="N978" s="9">
        <v>4.6254999999999997</v>
      </c>
      <c r="O978" s="9">
        <v>0.35039999999999999</v>
      </c>
      <c r="P978" s="9">
        <v>1.2104999999999999</v>
      </c>
      <c r="Q978" s="9">
        <v>18.417899999999999</v>
      </c>
      <c r="R978" s="9"/>
      <c r="S978" s="11"/>
    </row>
    <row r="979" spans="1:19" ht="15.75">
      <c r="A979" s="13">
        <v>71680</v>
      </c>
      <c r="B979" s="8">
        <f>41.594 * CHOOSE(CONTROL!$C$12, $D$11, 100%, $F$11)</f>
        <v>41.594000000000001</v>
      </c>
      <c r="C979" s="8">
        <f>41.6044 * CHOOSE(CONTROL!$C$12, $D$11, 100%, $F$11)</f>
        <v>41.604399999999998</v>
      </c>
      <c r="D979" s="8">
        <f>41.5842 * CHOOSE( CONTROL!$C$12, $D$11, 100%, $F$11)</f>
        <v>41.584200000000003</v>
      </c>
      <c r="E979" s="12">
        <f>41.5905 * CHOOSE( CONTROL!$C$12, $D$11, 100%, $F$11)</f>
        <v>41.590499999999999</v>
      </c>
      <c r="F979" s="4">
        <f>42.5929 * CHOOSE(CONTROL!$C$12, $D$11, 100%, $F$11)</f>
        <v>42.5929</v>
      </c>
      <c r="G979" s="8">
        <f>40.5515 * CHOOSE( CONTROL!$C$12, $D$11, 100%, $F$11)</f>
        <v>40.551499999999997</v>
      </c>
      <c r="H979" s="4">
        <f>41.4421 * CHOOSE(CONTROL!$C$12, $D$11, 100%, $F$11)</f>
        <v>41.442100000000003</v>
      </c>
      <c r="I979" s="8">
        <f>39.9287 * CHOOSE(CONTROL!$C$12, $D$11, 100%, $F$11)</f>
        <v>39.928699999999999</v>
      </c>
      <c r="J979" s="4">
        <f>39.8506 * CHOOSE(CONTROL!$C$12, $D$11, 100%, $F$11)</f>
        <v>39.8506</v>
      </c>
      <c r="K979" s="4"/>
      <c r="L979" s="9">
        <v>27.3993</v>
      </c>
      <c r="M979" s="9">
        <v>12.063700000000001</v>
      </c>
      <c r="N979" s="9">
        <v>4.9444999999999997</v>
      </c>
      <c r="O979" s="9">
        <v>0.37459999999999999</v>
      </c>
      <c r="P979" s="9">
        <v>1.2939000000000001</v>
      </c>
      <c r="Q979" s="9">
        <v>19.688099999999999</v>
      </c>
      <c r="R979" s="9"/>
      <c r="S979" s="11"/>
    </row>
    <row r="980" spans="1:19" ht="15.75">
      <c r="A980" s="13">
        <v>71710</v>
      </c>
      <c r="B980" s="8">
        <f>42.2261 * CHOOSE(CONTROL!$C$12, $D$11, 100%, $F$11)</f>
        <v>42.226100000000002</v>
      </c>
      <c r="C980" s="8">
        <f>42.2365 * CHOOSE(CONTROL!$C$12, $D$11, 100%, $F$11)</f>
        <v>42.236499999999999</v>
      </c>
      <c r="D980" s="8">
        <f>42.2397 * CHOOSE( CONTROL!$C$12, $D$11, 100%, $F$11)</f>
        <v>42.239699999999999</v>
      </c>
      <c r="E980" s="12">
        <f>42.2375 * CHOOSE( CONTROL!$C$12, $D$11, 100%, $F$11)</f>
        <v>42.237499999999997</v>
      </c>
      <c r="F980" s="4">
        <f>43.2333 * CHOOSE(CONTROL!$C$12, $D$11, 100%, $F$11)</f>
        <v>43.2333</v>
      </c>
      <c r="G980" s="8">
        <f>41.1555 * CHOOSE( CONTROL!$C$12, $D$11, 100%, $F$11)</f>
        <v>41.155500000000004</v>
      </c>
      <c r="H980" s="4">
        <f>42.0664 * CHOOSE(CONTROL!$C$12, $D$11, 100%, $F$11)</f>
        <v>42.066400000000002</v>
      </c>
      <c r="I980" s="8">
        <f>40.5247 * CHOOSE(CONTROL!$C$12, $D$11, 100%, $F$11)</f>
        <v>40.524700000000003</v>
      </c>
      <c r="J980" s="4">
        <f>40.4563 * CHOOSE(CONTROL!$C$12, $D$11, 100%, $F$11)</f>
        <v>40.456299999999999</v>
      </c>
      <c r="K980" s="4"/>
      <c r="L980" s="9">
        <v>27.988800000000001</v>
      </c>
      <c r="M980" s="9">
        <v>11.6745</v>
      </c>
      <c r="N980" s="9">
        <v>4.7850000000000001</v>
      </c>
      <c r="O980" s="9">
        <v>0.36249999999999999</v>
      </c>
      <c r="P980" s="9">
        <v>1.1798</v>
      </c>
      <c r="Q980" s="9">
        <v>19.053000000000001</v>
      </c>
      <c r="R980" s="9"/>
      <c r="S980" s="11"/>
    </row>
    <row r="981" spans="1:19" ht="15.75">
      <c r="A981" s="13">
        <v>71741</v>
      </c>
      <c r="B981" s="8">
        <f>CHOOSE( CONTROL!$C$29, 43.3553, 43.3511) * CHOOSE(CONTROL!$C$12, $D$11, 100%, $F$11)</f>
        <v>43.3553</v>
      </c>
      <c r="C981" s="8">
        <f>CHOOSE( CONTROL!$C$29, 43.3658, 43.3615) * CHOOSE(CONTROL!$C$12, $D$11, 100%, $F$11)</f>
        <v>43.3658</v>
      </c>
      <c r="D981" s="8">
        <f>CHOOSE( CONTROL!$C$29, 43.3437, 43.3394) * CHOOSE( CONTROL!$C$12, $D$11, 100%, $F$11)</f>
        <v>43.343699999999998</v>
      </c>
      <c r="E981" s="12">
        <f>CHOOSE( CONTROL!$C$29, 43.3501, 43.3458) * CHOOSE( CONTROL!$C$12, $D$11, 100%, $F$11)</f>
        <v>43.350099999999998</v>
      </c>
      <c r="F981" s="4">
        <f>CHOOSE( CONTROL!$C$29, 44.3302, 44.326) * CHOOSE(CONTROL!$C$12, $D$11, 100%, $F$11)</f>
        <v>44.330199999999998</v>
      </c>
      <c r="G981" s="8">
        <f>CHOOSE( CONTROL!$C$29, 42.2375, 42.2334) * CHOOSE( CONTROL!$C$12, $D$11, 100%, $F$11)</f>
        <v>42.237499999999997</v>
      </c>
      <c r="H981" s="4">
        <f>CHOOSE( CONTROL!$C$29, 43.1356, 43.1314) * CHOOSE(CONTROL!$C$12, $D$11, 100%, $F$11)</f>
        <v>43.135599999999997</v>
      </c>
      <c r="I981" s="8">
        <f>CHOOSE( CONTROL!$C$29, 41.5858, 41.5817) * CHOOSE(CONTROL!$C$12, $D$11, 100%, $F$11)</f>
        <v>41.585799999999999</v>
      </c>
      <c r="J981" s="4">
        <f>CHOOSE( CONTROL!$C$29, 41.5383, 41.5343) * CHOOSE(CONTROL!$C$12, $D$11, 100%, $F$11)</f>
        <v>41.5383</v>
      </c>
      <c r="K981" s="4"/>
      <c r="L981" s="9">
        <v>29.520499999999998</v>
      </c>
      <c r="M981" s="9">
        <v>12.063700000000001</v>
      </c>
      <c r="N981" s="9">
        <v>4.9444999999999997</v>
      </c>
      <c r="O981" s="9">
        <v>0.37459999999999999</v>
      </c>
      <c r="P981" s="9">
        <v>1.2192000000000001</v>
      </c>
      <c r="Q981" s="9">
        <v>19.688099999999999</v>
      </c>
      <c r="R981" s="9"/>
      <c r="S981" s="11"/>
    </row>
    <row r="982" spans="1:19" ht="15.75">
      <c r="A982" s="13">
        <v>71771</v>
      </c>
      <c r="B982" s="8">
        <f>CHOOSE( CONTROL!$C$29, 42.6584, 42.6542) * CHOOSE(CONTROL!$C$12, $D$11, 100%, $F$11)</f>
        <v>42.6584</v>
      </c>
      <c r="C982" s="8">
        <f>CHOOSE( CONTROL!$C$29, 42.6689, 42.6646) * CHOOSE(CONTROL!$C$12, $D$11, 100%, $F$11)</f>
        <v>42.668900000000001</v>
      </c>
      <c r="D982" s="8">
        <f>CHOOSE( CONTROL!$C$29, 42.6412, 42.6369) * CHOOSE( CONTROL!$C$12, $D$11, 100%, $F$11)</f>
        <v>42.641199999999998</v>
      </c>
      <c r="E982" s="12">
        <f>CHOOSE( CONTROL!$C$29, 42.6496, 42.6454) * CHOOSE( CONTROL!$C$12, $D$11, 100%, $F$11)</f>
        <v>42.6496</v>
      </c>
      <c r="F982" s="4">
        <f>CHOOSE( CONTROL!$C$29, 43.6229, 43.6186) * CHOOSE(CONTROL!$C$12, $D$11, 100%, $F$11)</f>
        <v>43.622900000000001</v>
      </c>
      <c r="G982" s="8">
        <f>CHOOSE( CONTROL!$C$29, 41.5569, 41.5528) * CHOOSE( CONTROL!$C$12, $D$11, 100%, $F$11)</f>
        <v>41.556899999999999</v>
      </c>
      <c r="H982" s="4">
        <f>CHOOSE( CONTROL!$C$29, 42.4461, 42.442) * CHOOSE(CONTROL!$C$12, $D$11, 100%, $F$11)</f>
        <v>42.446100000000001</v>
      </c>
      <c r="I982" s="8">
        <f>CHOOSE( CONTROL!$C$29, 40.9199, 40.9158) * CHOOSE(CONTROL!$C$12, $D$11, 100%, $F$11)</f>
        <v>40.919899999999998</v>
      </c>
      <c r="J982" s="4">
        <f>CHOOSE( CONTROL!$C$29, 40.8705, 40.8665) * CHOOSE(CONTROL!$C$12, $D$11, 100%, $F$11)</f>
        <v>40.8705</v>
      </c>
      <c r="K982" s="4"/>
      <c r="L982" s="9">
        <v>28.568200000000001</v>
      </c>
      <c r="M982" s="9">
        <v>11.6745</v>
      </c>
      <c r="N982" s="9">
        <v>4.7850000000000001</v>
      </c>
      <c r="O982" s="9">
        <v>0.36249999999999999</v>
      </c>
      <c r="P982" s="9">
        <v>1.1798</v>
      </c>
      <c r="Q982" s="9">
        <v>19.053000000000001</v>
      </c>
      <c r="R982" s="9"/>
      <c r="S982" s="11"/>
    </row>
    <row r="983" spans="1:19" ht="15.75">
      <c r="A983" s="13">
        <v>71802</v>
      </c>
      <c r="B983" s="8">
        <f>CHOOSE( CONTROL!$C$29, 44.4936, 44.4894) * CHOOSE(CONTROL!$C$12, $D$11, 100%, $F$11)</f>
        <v>44.493600000000001</v>
      </c>
      <c r="C983" s="8">
        <f>CHOOSE( CONTROL!$C$29, 44.5041, 44.4998) * CHOOSE(CONTROL!$C$12, $D$11, 100%, $F$11)</f>
        <v>44.504100000000001</v>
      </c>
      <c r="D983" s="8">
        <f>CHOOSE( CONTROL!$C$29, 44.5102, 44.506) * CHOOSE( CONTROL!$C$12, $D$11, 100%, $F$11)</f>
        <v>44.510199999999998</v>
      </c>
      <c r="E983" s="12">
        <f>CHOOSE( CONTROL!$C$29, 44.5064, 44.5022) * CHOOSE( CONTROL!$C$12, $D$11, 100%, $F$11)</f>
        <v>44.506399999999999</v>
      </c>
      <c r="F983" s="4">
        <f>CHOOSE( CONTROL!$C$29, 45.5035, 45.4993) * CHOOSE(CONTROL!$C$12, $D$11, 100%, $F$11)</f>
        <v>45.503500000000003</v>
      </c>
      <c r="G983" s="8">
        <f>CHOOSE( CONTROL!$C$29, 43.3719, 43.3677) * CHOOSE( CONTROL!$C$12, $D$11, 100%, $F$11)</f>
        <v>43.371899999999997</v>
      </c>
      <c r="H983" s="4">
        <f>CHOOSE( CONTROL!$C$29, 44.2792, 44.2751) * CHOOSE(CONTROL!$C$12, $D$11, 100%, $F$11)</f>
        <v>44.279200000000003</v>
      </c>
      <c r="I983" s="8">
        <f>CHOOSE( CONTROL!$C$29, 42.7345, 42.7304) * CHOOSE(CONTROL!$C$12, $D$11, 100%, $F$11)</f>
        <v>42.734499999999997</v>
      </c>
      <c r="J983" s="4">
        <f>CHOOSE( CONTROL!$C$29, 42.629, 42.625) * CHOOSE(CONTROL!$C$12, $D$11, 100%, $F$11)</f>
        <v>42.628999999999998</v>
      </c>
      <c r="K983" s="4"/>
      <c r="L983" s="9">
        <v>29.520499999999998</v>
      </c>
      <c r="M983" s="9">
        <v>12.063700000000001</v>
      </c>
      <c r="N983" s="9">
        <v>4.9444999999999997</v>
      </c>
      <c r="O983" s="9">
        <v>0.37459999999999999</v>
      </c>
      <c r="P983" s="9">
        <v>1.2192000000000001</v>
      </c>
      <c r="Q983" s="9">
        <v>19.688099999999999</v>
      </c>
      <c r="R983" s="9"/>
      <c r="S983" s="11"/>
    </row>
    <row r="984" spans="1:19" ht="15.75">
      <c r="A984" s="13">
        <v>71833</v>
      </c>
      <c r="B984" s="8">
        <f>CHOOSE( CONTROL!$C$29, 41.0598, 41.0555) * CHOOSE(CONTROL!$C$12, $D$11, 100%, $F$11)</f>
        <v>41.059800000000003</v>
      </c>
      <c r="C984" s="8">
        <f>CHOOSE( CONTROL!$C$29, 41.0702, 41.066) * CHOOSE(CONTROL!$C$12, $D$11, 100%, $F$11)</f>
        <v>41.0702</v>
      </c>
      <c r="D984" s="8">
        <f>CHOOSE( CONTROL!$C$29, 41.0928, 41.0886) * CHOOSE( CONTROL!$C$12, $D$11, 100%, $F$11)</f>
        <v>41.092799999999997</v>
      </c>
      <c r="E984" s="12">
        <f>CHOOSE( CONTROL!$C$29, 41.083, 41.0788) * CHOOSE( CONTROL!$C$12, $D$11, 100%, $F$11)</f>
        <v>41.082999999999998</v>
      </c>
      <c r="F984" s="4">
        <f>CHOOSE( CONTROL!$C$29, 42.0983, 42.0941) * CHOOSE(CONTROL!$C$12, $D$11, 100%, $F$11)</f>
        <v>42.098300000000002</v>
      </c>
      <c r="G984" s="8">
        <f>CHOOSE( CONTROL!$C$29, 40.0302, 40.0261) * CHOOSE( CONTROL!$C$12, $D$11, 100%, $F$11)</f>
        <v>40.030200000000001</v>
      </c>
      <c r="H984" s="4">
        <f>CHOOSE( CONTROL!$C$29, 40.96, 40.9559) * CHOOSE(CONTROL!$C$12, $D$11, 100%, $F$11)</f>
        <v>40.96</v>
      </c>
      <c r="I984" s="8">
        <f>CHOOSE( CONTROL!$C$29, 39.434, 39.4299) * CHOOSE(CONTROL!$C$12, $D$11, 100%, $F$11)</f>
        <v>39.433999999999997</v>
      </c>
      <c r="J984" s="4">
        <f>CHOOSE( CONTROL!$C$29, 39.3387, 39.3346) * CHOOSE(CONTROL!$C$12, $D$11, 100%, $F$11)</f>
        <v>39.338700000000003</v>
      </c>
      <c r="K984" s="4"/>
      <c r="L984" s="9">
        <v>29.520499999999998</v>
      </c>
      <c r="M984" s="9">
        <v>12.063700000000001</v>
      </c>
      <c r="N984" s="9">
        <v>4.9444999999999997</v>
      </c>
      <c r="O984" s="9">
        <v>0.37459999999999999</v>
      </c>
      <c r="P984" s="9">
        <v>1.2192000000000001</v>
      </c>
      <c r="Q984" s="9">
        <v>19.688099999999999</v>
      </c>
      <c r="R984" s="9"/>
      <c r="S984" s="11"/>
    </row>
    <row r="985" spans="1:19" ht="15.75">
      <c r="A985" s="13">
        <v>71863</v>
      </c>
      <c r="B985" s="8">
        <f>CHOOSE( CONTROL!$C$29, 40.1999, 40.1956) * CHOOSE(CONTROL!$C$12, $D$11, 100%, $F$11)</f>
        <v>40.1999</v>
      </c>
      <c r="C985" s="8">
        <f>CHOOSE( CONTROL!$C$29, 40.2103, 40.2061) * CHOOSE(CONTROL!$C$12, $D$11, 100%, $F$11)</f>
        <v>40.210299999999997</v>
      </c>
      <c r="D985" s="8">
        <f>CHOOSE( CONTROL!$C$29, 40.2329, 40.2286) * CHOOSE( CONTROL!$C$12, $D$11, 100%, $F$11)</f>
        <v>40.232900000000001</v>
      </c>
      <c r="E985" s="12">
        <f>CHOOSE( CONTROL!$C$29, 40.2231, 40.2188) * CHOOSE( CONTROL!$C$12, $D$11, 100%, $F$11)</f>
        <v>40.223100000000002</v>
      </c>
      <c r="F985" s="4">
        <f>CHOOSE( CONTROL!$C$29, 41.2384, 41.2342) * CHOOSE(CONTROL!$C$12, $D$11, 100%, $F$11)</f>
        <v>41.238399999999999</v>
      </c>
      <c r="G985" s="8">
        <f>CHOOSE( CONTROL!$C$29, 39.1917, 39.1876) * CHOOSE( CONTROL!$C$12, $D$11, 100%, $F$11)</f>
        <v>39.191699999999997</v>
      </c>
      <c r="H985" s="4">
        <f>CHOOSE( CONTROL!$C$29, 40.1218, 40.1177) * CHOOSE(CONTROL!$C$12, $D$11, 100%, $F$11)</f>
        <v>40.1218</v>
      </c>
      <c r="I985" s="8">
        <f>CHOOSE( CONTROL!$C$29, 38.6079, 38.6039) * CHOOSE(CONTROL!$C$12, $D$11, 100%, $F$11)</f>
        <v>38.607900000000001</v>
      </c>
      <c r="J985" s="4">
        <f>CHOOSE( CONTROL!$C$29, 38.5148, 38.5107) * CHOOSE(CONTROL!$C$12, $D$11, 100%, $F$11)</f>
        <v>38.514800000000001</v>
      </c>
      <c r="K985" s="4"/>
      <c r="L985" s="9">
        <v>28.568200000000001</v>
      </c>
      <c r="M985" s="9">
        <v>11.6745</v>
      </c>
      <c r="N985" s="9">
        <v>4.7850000000000001</v>
      </c>
      <c r="O985" s="9">
        <v>0.36249999999999999</v>
      </c>
      <c r="P985" s="9">
        <v>1.1798</v>
      </c>
      <c r="Q985" s="9">
        <v>19.053000000000001</v>
      </c>
      <c r="R985" s="9"/>
      <c r="S985" s="11"/>
    </row>
    <row r="986" spans="1:19" ht="15.75">
      <c r="A986" s="13">
        <v>71894</v>
      </c>
      <c r="B986" s="8">
        <f>41.981 * CHOOSE(CONTROL!$C$12, $D$11, 100%, $F$11)</f>
        <v>41.981000000000002</v>
      </c>
      <c r="C986" s="8">
        <f>41.9915 * CHOOSE(CONTROL!$C$12, $D$11, 100%, $F$11)</f>
        <v>41.991500000000002</v>
      </c>
      <c r="D986" s="8">
        <f>41.9959 * CHOOSE( CONTROL!$C$12, $D$11, 100%, $F$11)</f>
        <v>41.995899999999999</v>
      </c>
      <c r="E986" s="12">
        <f>41.9933 * CHOOSE( CONTROL!$C$12, $D$11, 100%, $F$11)</f>
        <v>41.993299999999998</v>
      </c>
      <c r="F986" s="4">
        <f>42.9883 * CHOOSE(CONTROL!$C$12, $D$11, 100%, $F$11)</f>
        <v>42.988300000000002</v>
      </c>
      <c r="G986" s="8">
        <f>40.9182 * CHOOSE( CONTROL!$C$12, $D$11, 100%, $F$11)</f>
        <v>40.918199999999999</v>
      </c>
      <c r="H986" s="4">
        <f>41.8275 * CHOOSE(CONTROL!$C$12, $D$11, 100%, $F$11)</f>
        <v>41.827500000000001</v>
      </c>
      <c r="I986" s="8">
        <f>40.3121 * CHOOSE(CONTROL!$C$12, $D$11, 100%, $F$11)</f>
        <v>40.312100000000001</v>
      </c>
      <c r="J986" s="4">
        <f>40.2215 * CHOOSE(CONTROL!$C$12, $D$11, 100%, $F$11)</f>
        <v>40.221499999999999</v>
      </c>
      <c r="K986" s="4"/>
      <c r="L986" s="9">
        <v>28.921800000000001</v>
      </c>
      <c r="M986" s="9">
        <v>12.063700000000001</v>
      </c>
      <c r="N986" s="9">
        <v>4.9444999999999997</v>
      </c>
      <c r="O986" s="9">
        <v>0.37459999999999999</v>
      </c>
      <c r="P986" s="9">
        <v>1.2192000000000001</v>
      </c>
      <c r="Q986" s="9">
        <v>19.688099999999999</v>
      </c>
      <c r="R986" s="9"/>
      <c r="S986" s="11"/>
    </row>
    <row r="987" spans="1:19" ht="15.75">
      <c r="A987" s="13">
        <v>71924</v>
      </c>
      <c r="B987" s="8">
        <f>45.2766 * CHOOSE(CONTROL!$C$12, $D$11, 100%, $F$11)</f>
        <v>45.276600000000002</v>
      </c>
      <c r="C987" s="8">
        <f>45.287 * CHOOSE(CONTROL!$C$12, $D$11, 100%, $F$11)</f>
        <v>45.286999999999999</v>
      </c>
      <c r="D987" s="8">
        <f>45.2694 * CHOOSE( CONTROL!$C$12, $D$11, 100%, $F$11)</f>
        <v>45.269399999999997</v>
      </c>
      <c r="E987" s="12">
        <f>45.2747 * CHOOSE( CONTROL!$C$12, $D$11, 100%, $F$11)</f>
        <v>45.274700000000003</v>
      </c>
      <c r="F987" s="4">
        <f>46.2708 * CHOOSE(CONTROL!$C$12, $D$11, 100%, $F$11)</f>
        <v>46.270800000000001</v>
      </c>
      <c r="G987" s="8">
        <f>44.1431 * CHOOSE( CONTROL!$C$12, $D$11, 100%, $F$11)</f>
        <v>44.143099999999997</v>
      </c>
      <c r="H987" s="4">
        <f>45.0272 * CHOOSE(CONTROL!$C$12, $D$11, 100%, $F$11)</f>
        <v>45.027200000000001</v>
      </c>
      <c r="I987" s="8">
        <f>43.4949 * CHOOSE(CONTROL!$C$12, $D$11, 100%, $F$11)</f>
        <v>43.494900000000001</v>
      </c>
      <c r="J987" s="4">
        <f>43.3792 * CHOOSE(CONTROL!$C$12, $D$11, 100%, $F$11)</f>
        <v>43.379199999999997</v>
      </c>
      <c r="K987" s="4"/>
      <c r="L987" s="9">
        <v>26.515499999999999</v>
      </c>
      <c r="M987" s="9">
        <v>11.6745</v>
      </c>
      <c r="N987" s="9">
        <v>4.7850000000000001</v>
      </c>
      <c r="O987" s="9">
        <v>0.36249999999999999</v>
      </c>
      <c r="P987" s="9">
        <v>1.2522</v>
      </c>
      <c r="Q987" s="9">
        <v>19.053000000000001</v>
      </c>
      <c r="R987" s="9"/>
      <c r="S987" s="11"/>
    </row>
    <row r="988" spans="1:19" ht="15.75">
      <c r="A988" s="13">
        <v>71955</v>
      </c>
      <c r="B988" s="8">
        <f>45.1942 * CHOOSE(CONTROL!$C$12, $D$11, 100%, $F$11)</f>
        <v>45.194200000000002</v>
      </c>
      <c r="C988" s="8">
        <f>45.2047 * CHOOSE(CONTROL!$C$12, $D$11, 100%, $F$11)</f>
        <v>45.204700000000003</v>
      </c>
      <c r="D988" s="8">
        <f>45.1891 * CHOOSE( CONTROL!$C$12, $D$11, 100%, $F$11)</f>
        <v>45.189100000000003</v>
      </c>
      <c r="E988" s="12">
        <f>45.1937 * CHOOSE( CONTROL!$C$12, $D$11, 100%, $F$11)</f>
        <v>45.1937</v>
      </c>
      <c r="F988" s="4">
        <f>46.1884 * CHOOSE(CONTROL!$C$12, $D$11, 100%, $F$11)</f>
        <v>46.188400000000001</v>
      </c>
      <c r="G988" s="8">
        <f>44.0643 * CHOOSE( CONTROL!$C$12, $D$11, 100%, $F$11)</f>
        <v>44.064300000000003</v>
      </c>
      <c r="H988" s="4">
        <f>44.9469 * CHOOSE(CONTROL!$C$12, $D$11, 100%, $F$11)</f>
        <v>44.946899999999999</v>
      </c>
      <c r="I988" s="8">
        <f>43.4232 * CHOOSE(CONTROL!$C$12, $D$11, 100%, $F$11)</f>
        <v>43.423200000000001</v>
      </c>
      <c r="J988" s="4">
        <f>43.3003 * CHOOSE(CONTROL!$C$12, $D$11, 100%, $F$11)</f>
        <v>43.3003</v>
      </c>
      <c r="K988" s="4"/>
      <c r="L988" s="9">
        <v>27.3993</v>
      </c>
      <c r="M988" s="9">
        <v>12.063700000000001</v>
      </c>
      <c r="N988" s="9">
        <v>4.9444999999999997</v>
      </c>
      <c r="O988" s="9">
        <v>0.37459999999999999</v>
      </c>
      <c r="P988" s="9">
        <v>1.2939000000000001</v>
      </c>
      <c r="Q988" s="9">
        <v>19.688099999999999</v>
      </c>
      <c r="R988" s="9"/>
      <c r="S988" s="11"/>
    </row>
    <row r="989" spans="1:19" ht="15.75">
      <c r="A989" s="13">
        <v>71986</v>
      </c>
      <c r="B989" s="8">
        <f>46.9213 * CHOOSE(CONTROL!$C$12, $D$11, 100%, $F$11)</f>
        <v>46.921300000000002</v>
      </c>
      <c r="C989" s="8">
        <f>46.9318 * CHOOSE(CONTROL!$C$12, $D$11, 100%, $F$11)</f>
        <v>46.931800000000003</v>
      </c>
      <c r="D989" s="8">
        <f>46.9294 * CHOOSE( CONTROL!$C$12, $D$11, 100%, $F$11)</f>
        <v>46.929400000000001</v>
      </c>
      <c r="E989" s="12">
        <f>46.9292 * CHOOSE( CONTROL!$C$12, $D$11, 100%, $F$11)</f>
        <v>46.929200000000002</v>
      </c>
      <c r="F989" s="4">
        <f>47.9442 * CHOOSE(CONTROL!$C$12, $D$11, 100%, $F$11)</f>
        <v>47.944200000000002</v>
      </c>
      <c r="G989" s="8">
        <f>45.765 * CHOOSE( CONTROL!$C$12, $D$11, 100%, $F$11)</f>
        <v>45.765000000000001</v>
      </c>
      <c r="H989" s="4">
        <f>46.6584 * CHOOSE(CONTROL!$C$12, $D$11, 100%, $F$11)</f>
        <v>46.6584</v>
      </c>
      <c r="I989" s="8">
        <f>45.0863 * CHOOSE(CONTROL!$C$12, $D$11, 100%, $F$11)</f>
        <v>45.086300000000001</v>
      </c>
      <c r="J989" s="4">
        <f>44.9553 * CHOOSE(CONTROL!$C$12, $D$11, 100%, $F$11)</f>
        <v>44.955300000000001</v>
      </c>
      <c r="K989" s="4"/>
      <c r="L989" s="9">
        <v>27.3993</v>
      </c>
      <c r="M989" s="9">
        <v>12.063700000000001</v>
      </c>
      <c r="N989" s="9">
        <v>4.9444999999999997</v>
      </c>
      <c r="O989" s="9">
        <v>0.37459999999999999</v>
      </c>
      <c r="P989" s="9">
        <v>1.2939000000000001</v>
      </c>
      <c r="Q989" s="9">
        <v>19.688099999999999</v>
      </c>
      <c r="R989" s="9"/>
      <c r="S989" s="11"/>
    </row>
    <row r="990" spans="1:19" ht="15.75">
      <c r="A990" s="13">
        <v>72014</v>
      </c>
      <c r="B990" s="8">
        <f>43.8883 * CHOOSE(CONTROL!$C$12, $D$11, 100%, $F$11)</f>
        <v>43.888300000000001</v>
      </c>
      <c r="C990" s="8">
        <f>43.8987 * CHOOSE(CONTROL!$C$12, $D$11, 100%, $F$11)</f>
        <v>43.898699999999998</v>
      </c>
      <c r="D990" s="8">
        <f>43.8987 * CHOOSE( CONTROL!$C$12, $D$11, 100%, $F$11)</f>
        <v>43.898699999999998</v>
      </c>
      <c r="E990" s="12">
        <f>43.8976 * CHOOSE( CONTROL!$C$12, $D$11, 100%, $F$11)</f>
        <v>43.897599999999997</v>
      </c>
      <c r="F990" s="4">
        <f>44.9033 * CHOOSE(CONTROL!$C$12, $D$11, 100%, $F$11)</f>
        <v>44.903300000000002</v>
      </c>
      <c r="G990" s="8">
        <f>42.8084 * CHOOSE( CONTROL!$C$12, $D$11, 100%, $F$11)</f>
        <v>42.808399999999999</v>
      </c>
      <c r="H990" s="4">
        <f>43.6942 * CHOOSE(CONTROL!$C$12, $D$11, 100%, $F$11)</f>
        <v>43.694200000000002</v>
      </c>
      <c r="I990" s="8">
        <f>42.1677 * CHOOSE(CONTROL!$C$12, $D$11, 100%, $F$11)</f>
        <v>42.167700000000004</v>
      </c>
      <c r="J990" s="4">
        <f>42.049 * CHOOSE(CONTROL!$C$12, $D$11, 100%, $F$11)</f>
        <v>42.048999999999999</v>
      </c>
      <c r="K990" s="4"/>
      <c r="L990" s="9">
        <v>24.747800000000002</v>
      </c>
      <c r="M990" s="9">
        <v>10.8962</v>
      </c>
      <c r="N990" s="9">
        <v>4.4660000000000002</v>
      </c>
      <c r="O990" s="9">
        <v>0.33829999999999999</v>
      </c>
      <c r="P990" s="9">
        <v>1.1687000000000001</v>
      </c>
      <c r="Q990" s="9">
        <v>17.782800000000002</v>
      </c>
      <c r="R990" s="9"/>
      <c r="S990" s="11"/>
    </row>
    <row r="991" spans="1:19" ht="15.75">
      <c r="A991" s="13">
        <v>72045</v>
      </c>
      <c r="B991" s="8">
        <f>42.9541 * CHOOSE(CONTROL!$C$12, $D$11, 100%, $F$11)</f>
        <v>42.954099999999997</v>
      </c>
      <c r="C991" s="8">
        <f>42.9645 * CHOOSE(CONTROL!$C$12, $D$11, 100%, $F$11)</f>
        <v>42.964500000000001</v>
      </c>
      <c r="D991" s="8">
        <f>42.9444 * CHOOSE( CONTROL!$C$12, $D$11, 100%, $F$11)</f>
        <v>42.944400000000002</v>
      </c>
      <c r="E991" s="12">
        <f>42.9506 * CHOOSE( CONTROL!$C$12, $D$11, 100%, $F$11)</f>
        <v>42.950600000000001</v>
      </c>
      <c r="F991" s="4">
        <f>43.953 * CHOOSE(CONTROL!$C$12, $D$11, 100%, $F$11)</f>
        <v>43.953000000000003</v>
      </c>
      <c r="G991" s="8">
        <f>41.8773 * CHOOSE( CONTROL!$C$12, $D$11, 100%, $F$11)</f>
        <v>41.877299999999998</v>
      </c>
      <c r="H991" s="4">
        <f>42.7679 * CHOOSE(CONTROL!$C$12, $D$11, 100%, $F$11)</f>
        <v>42.767899999999997</v>
      </c>
      <c r="I991" s="8">
        <f>41.2326 * CHOOSE(CONTROL!$C$12, $D$11, 100%, $F$11)</f>
        <v>41.232599999999998</v>
      </c>
      <c r="J991" s="4">
        <f>41.1538 * CHOOSE(CONTROL!$C$12, $D$11, 100%, $F$11)</f>
        <v>41.153799999999997</v>
      </c>
      <c r="K991" s="4"/>
      <c r="L991" s="9">
        <v>27.3993</v>
      </c>
      <c r="M991" s="9">
        <v>12.063700000000001</v>
      </c>
      <c r="N991" s="9">
        <v>4.9444999999999997</v>
      </c>
      <c r="O991" s="9">
        <v>0.37459999999999999</v>
      </c>
      <c r="P991" s="9">
        <v>1.2939000000000001</v>
      </c>
      <c r="Q991" s="9">
        <v>19.688099999999999</v>
      </c>
      <c r="R991" s="9"/>
      <c r="S991" s="11"/>
    </row>
    <row r="992" spans="1:19" ht="15.75">
      <c r="A992" s="13">
        <v>72075</v>
      </c>
      <c r="B992" s="8">
        <f>43.6069 * CHOOSE(CONTROL!$C$12, $D$11, 100%, $F$11)</f>
        <v>43.606900000000003</v>
      </c>
      <c r="C992" s="8">
        <f>43.6173 * CHOOSE(CONTROL!$C$12, $D$11, 100%, $F$11)</f>
        <v>43.6173</v>
      </c>
      <c r="D992" s="8">
        <f>43.6205 * CHOOSE( CONTROL!$C$12, $D$11, 100%, $F$11)</f>
        <v>43.6205</v>
      </c>
      <c r="E992" s="12">
        <f>43.6183 * CHOOSE( CONTROL!$C$12, $D$11, 100%, $F$11)</f>
        <v>43.618299999999998</v>
      </c>
      <c r="F992" s="4">
        <f>44.6141 * CHOOSE(CONTROL!$C$12, $D$11, 100%, $F$11)</f>
        <v>44.614100000000001</v>
      </c>
      <c r="G992" s="8">
        <f>42.5014 * CHOOSE( CONTROL!$C$12, $D$11, 100%, $F$11)</f>
        <v>42.501399999999997</v>
      </c>
      <c r="H992" s="4">
        <f>43.4123 * CHOOSE(CONTROL!$C$12, $D$11, 100%, $F$11)</f>
        <v>43.412300000000002</v>
      </c>
      <c r="I992" s="8">
        <f>41.8485 * CHOOSE(CONTROL!$C$12, $D$11, 100%, $F$11)</f>
        <v>41.848500000000001</v>
      </c>
      <c r="J992" s="4">
        <f>41.7793 * CHOOSE(CONTROL!$C$12, $D$11, 100%, $F$11)</f>
        <v>41.779299999999999</v>
      </c>
      <c r="K992" s="4"/>
      <c r="L992" s="9">
        <v>27.988800000000001</v>
      </c>
      <c r="M992" s="9">
        <v>11.6745</v>
      </c>
      <c r="N992" s="9">
        <v>4.7850000000000001</v>
      </c>
      <c r="O992" s="9">
        <v>0.36249999999999999</v>
      </c>
      <c r="P992" s="9">
        <v>1.1798</v>
      </c>
      <c r="Q992" s="9">
        <v>19.053000000000001</v>
      </c>
      <c r="R992" s="9"/>
      <c r="S992" s="11"/>
    </row>
    <row r="993" spans="1:19" ht="15.75">
      <c r="A993" s="13">
        <v>72106</v>
      </c>
      <c r="B993" s="8">
        <f>CHOOSE( CONTROL!$C$29, 44.7729, 44.7687) * CHOOSE(CONTROL!$C$12, $D$11, 100%, $F$11)</f>
        <v>44.7729</v>
      </c>
      <c r="C993" s="8">
        <f>CHOOSE( CONTROL!$C$29, 44.7833, 44.7791) * CHOOSE(CONTROL!$C$12, $D$11, 100%, $F$11)</f>
        <v>44.783299999999997</v>
      </c>
      <c r="D993" s="8">
        <f>CHOOSE( CONTROL!$C$29, 44.7613, 44.757) * CHOOSE( CONTROL!$C$12, $D$11, 100%, $F$11)</f>
        <v>44.761299999999999</v>
      </c>
      <c r="E993" s="12">
        <f>CHOOSE( CONTROL!$C$29, 44.7677, 44.7634) * CHOOSE( CONTROL!$C$12, $D$11, 100%, $F$11)</f>
        <v>44.767699999999998</v>
      </c>
      <c r="F993" s="4">
        <f>CHOOSE( CONTROL!$C$29, 45.7478, 45.7436) * CHOOSE(CONTROL!$C$12, $D$11, 100%, $F$11)</f>
        <v>45.747799999999998</v>
      </c>
      <c r="G993" s="8">
        <f>CHOOSE( CONTROL!$C$29, 43.6193, 43.6152) * CHOOSE( CONTROL!$C$12, $D$11, 100%, $F$11)</f>
        <v>43.619300000000003</v>
      </c>
      <c r="H993" s="4">
        <f>CHOOSE( CONTROL!$C$29, 44.5174, 44.5133) * CHOOSE(CONTROL!$C$12, $D$11, 100%, $F$11)</f>
        <v>44.517400000000002</v>
      </c>
      <c r="I993" s="8">
        <f>CHOOSE( CONTROL!$C$29, 42.9448, 42.9407) * CHOOSE(CONTROL!$C$12, $D$11, 100%, $F$11)</f>
        <v>42.944800000000001</v>
      </c>
      <c r="J993" s="4">
        <f>CHOOSE( CONTROL!$C$29, 42.8966, 42.8926) * CHOOSE(CONTROL!$C$12, $D$11, 100%, $F$11)</f>
        <v>42.896599999999999</v>
      </c>
      <c r="K993" s="4"/>
      <c r="L993" s="9">
        <v>29.520499999999998</v>
      </c>
      <c r="M993" s="9">
        <v>12.063700000000001</v>
      </c>
      <c r="N993" s="9">
        <v>4.9444999999999997</v>
      </c>
      <c r="O993" s="9">
        <v>0.37459999999999999</v>
      </c>
      <c r="P993" s="9">
        <v>1.2192000000000001</v>
      </c>
      <c r="Q993" s="9">
        <v>19.688099999999999</v>
      </c>
      <c r="R993" s="9"/>
      <c r="S993" s="11"/>
    </row>
    <row r="994" spans="1:19" ht="15.75">
      <c r="A994" s="13">
        <v>72136</v>
      </c>
      <c r="B994" s="8">
        <f>CHOOSE( CONTROL!$C$29, 44.0532, 44.049) * CHOOSE(CONTROL!$C$12, $D$11, 100%, $F$11)</f>
        <v>44.053199999999997</v>
      </c>
      <c r="C994" s="8">
        <f>CHOOSE( CONTROL!$C$29, 44.0636, 44.0594) * CHOOSE(CONTROL!$C$12, $D$11, 100%, $F$11)</f>
        <v>44.063600000000001</v>
      </c>
      <c r="D994" s="8">
        <f>CHOOSE( CONTROL!$C$29, 44.036, 44.0317) * CHOOSE( CONTROL!$C$12, $D$11, 100%, $F$11)</f>
        <v>44.036000000000001</v>
      </c>
      <c r="E994" s="12">
        <f>CHOOSE( CONTROL!$C$29, 44.0444, 44.0402) * CHOOSE( CONTROL!$C$12, $D$11, 100%, $F$11)</f>
        <v>44.044400000000003</v>
      </c>
      <c r="F994" s="4">
        <f>CHOOSE( CONTROL!$C$29, 45.0177, 45.0134) * CHOOSE(CONTROL!$C$12, $D$11, 100%, $F$11)</f>
        <v>45.017699999999998</v>
      </c>
      <c r="G994" s="8">
        <f>CHOOSE( CONTROL!$C$29, 42.9165, 42.9124) * CHOOSE( CONTROL!$C$12, $D$11, 100%, $F$11)</f>
        <v>42.916499999999999</v>
      </c>
      <c r="H994" s="4">
        <f>CHOOSE( CONTROL!$C$29, 43.8057, 43.8016) * CHOOSE(CONTROL!$C$12, $D$11, 100%, $F$11)</f>
        <v>43.805700000000002</v>
      </c>
      <c r="I994" s="8">
        <f>CHOOSE( CONTROL!$C$29, 42.257, 42.2529) * CHOOSE(CONTROL!$C$12, $D$11, 100%, $F$11)</f>
        <v>42.256999999999998</v>
      </c>
      <c r="J994" s="4">
        <f>CHOOSE( CONTROL!$C$29, 42.207, 42.203) * CHOOSE(CONTROL!$C$12, $D$11, 100%, $F$11)</f>
        <v>42.207000000000001</v>
      </c>
      <c r="K994" s="4"/>
      <c r="L994" s="9">
        <v>28.568200000000001</v>
      </c>
      <c r="M994" s="9">
        <v>11.6745</v>
      </c>
      <c r="N994" s="9">
        <v>4.7850000000000001</v>
      </c>
      <c r="O994" s="9">
        <v>0.36249999999999999</v>
      </c>
      <c r="P994" s="9">
        <v>1.1798</v>
      </c>
      <c r="Q994" s="9">
        <v>19.053000000000001</v>
      </c>
      <c r="R994" s="9"/>
      <c r="S994" s="11"/>
    </row>
    <row r="995" spans="1:19" ht="15.75">
      <c r="A995" s="13">
        <v>72167</v>
      </c>
      <c r="B995" s="8">
        <f>CHOOSE( CONTROL!$C$29, 45.9484, 45.9442) * CHOOSE(CONTROL!$C$12, $D$11, 100%, $F$11)</f>
        <v>45.948399999999999</v>
      </c>
      <c r="C995" s="8">
        <f>CHOOSE( CONTROL!$C$29, 45.9589, 45.9546) * CHOOSE(CONTROL!$C$12, $D$11, 100%, $F$11)</f>
        <v>45.9589</v>
      </c>
      <c r="D995" s="8">
        <f>CHOOSE( CONTROL!$C$29, 45.965, 45.9608) * CHOOSE( CONTROL!$C$12, $D$11, 100%, $F$11)</f>
        <v>45.965000000000003</v>
      </c>
      <c r="E995" s="12">
        <f>CHOOSE( CONTROL!$C$29, 45.9612, 45.957) * CHOOSE( CONTROL!$C$12, $D$11, 100%, $F$11)</f>
        <v>45.961199999999998</v>
      </c>
      <c r="F995" s="4">
        <f>CHOOSE( CONTROL!$C$29, 46.9583, 46.9541) * CHOOSE(CONTROL!$C$12, $D$11, 100%, $F$11)</f>
        <v>46.958300000000001</v>
      </c>
      <c r="G995" s="8">
        <f>CHOOSE( CONTROL!$C$29, 44.79, 44.7858) * CHOOSE( CONTROL!$C$12, $D$11, 100%, $F$11)</f>
        <v>44.79</v>
      </c>
      <c r="H995" s="4">
        <f>CHOOSE( CONTROL!$C$29, 45.6974, 45.6932) * CHOOSE(CONTROL!$C$12, $D$11, 100%, $F$11)</f>
        <v>45.697400000000002</v>
      </c>
      <c r="I995" s="8">
        <f>CHOOSE( CONTROL!$C$29, 44.1292, 44.1251) * CHOOSE(CONTROL!$C$12, $D$11, 100%, $F$11)</f>
        <v>44.129199999999997</v>
      </c>
      <c r="J995" s="4">
        <f>CHOOSE( CONTROL!$C$29, 44.023, 44.019) * CHOOSE(CONTROL!$C$12, $D$11, 100%, $F$11)</f>
        <v>44.023000000000003</v>
      </c>
      <c r="K995" s="4"/>
      <c r="L995" s="9">
        <v>29.520499999999998</v>
      </c>
      <c r="M995" s="9">
        <v>12.063700000000001</v>
      </c>
      <c r="N995" s="9">
        <v>4.9444999999999997</v>
      </c>
      <c r="O995" s="9">
        <v>0.37459999999999999</v>
      </c>
      <c r="P995" s="9">
        <v>1.2192000000000001</v>
      </c>
      <c r="Q995" s="9">
        <v>19.688099999999999</v>
      </c>
      <c r="R995" s="9"/>
      <c r="S995" s="11"/>
    </row>
    <row r="996" spans="1:19" ht="15.75">
      <c r="A996" s="13">
        <v>72198</v>
      </c>
      <c r="B996" s="8">
        <f>CHOOSE( CONTROL!$C$29, 42.4023, 42.398) * CHOOSE(CONTROL!$C$12, $D$11, 100%, $F$11)</f>
        <v>42.402299999999997</v>
      </c>
      <c r="C996" s="8">
        <f>CHOOSE( CONTROL!$C$29, 42.4127, 42.4085) * CHOOSE(CONTROL!$C$12, $D$11, 100%, $F$11)</f>
        <v>42.412700000000001</v>
      </c>
      <c r="D996" s="8">
        <f>CHOOSE( CONTROL!$C$29, 42.4353, 42.4311) * CHOOSE( CONTROL!$C$12, $D$11, 100%, $F$11)</f>
        <v>42.435299999999998</v>
      </c>
      <c r="E996" s="12">
        <f>CHOOSE( CONTROL!$C$29, 42.4255, 42.4213) * CHOOSE( CONTROL!$C$12, $D$11, 100%, $F$11)</f>
        <v>42.4255</v>
      </c>
      <c r="F996" s="4">
        <f>CHOOSE( CONTROL!$C$29, 43.4408, 43.4366) * CHOOSE(CONTROL!$C$12, $D$11, 100%, $F$11)</f>
        <v>43.440800000000003</v>
      </c>
      <c r="G996" s="8">
        <f>CHOOSE( CONTROL!$C$29, 41.3389, 41.3347) * CHOOSE( CONTROL!$C$12, $D$11, 100%, $F$11)</f>
        <v>41.338900000000002</v>
      </c>
      <c r="H996" s="4">
        <f>CHOOSE( CONTROL!$C$29, 42.2686, 42.2645) * CHOOSE(CONTROL!$C$12, $D$11, 100%, $F$11)</f>
        <v>42.268599999999999</v>
      </c>
      <c r="I996" s="8">
        <f>CHOOSE( CONTROL!$C$29, 40.721, 40.717) * CHOOSE(CONTROL!$C$12, $D$11, 100%, $F$11)</f>
        <v>40.720999999999997</v>
      </c>
      <c r="J996" s="4">
        <f>CHOOSE( CONTROL!$C$29, 40.6251, 40.621) * CHOOSE(CONTROL!$C$12, $D$11, 100%, $F$11)</f>
        <v>40.625100000000003</v>
      </c>
      <c r="K996" s="4"/>
      <c r="L996" s="9">
        <v>29.520499999999998</v>
      </c>
      <c r="M996" s="9">
        <v>12.063700000000001</v>
      </c>
      <c r="N996" s="9">
        <v>4.9444999999999997</v>
      </c>
      <c r="O996" s="9">
        <v>0.37459999999999999</v>
      </c>
      <c r="P996" s="9">
        <v>1.2192000000000001</v>
      </c>
      <c r="Q996" s="9">
        <v>19.688099999999999</v>
      </c>
      <c r="R996" s="9"/>
      <c r="S996" s="11"/>
    </row>
    <row r="997" spans="1:19" ht="15.75">
      <c r="A997" s="13">
        <v>72228</v>
      </c>
      <c r="B997" s="8">
        <f>CHOOSE( CONTROL!$C$29, 41.5143, 41.51) * CHOOSE(CONTROL!$C$12, $D$11, 100%, $F$11)</f>
        <v>41.514299999999999</v>
      </c>
      <c r="C997" s="8">
        <f>CHOOSE( CONTROL!$C$29, 41.5247, 41.5205) * CHOOSE(CONTROL!$C$12, $D$11, 100%, $F$11)</f>
        <v>41.524700000000003</v>
      </c>
      <c r="D997" s="8">
        <f>CHOOSE( CONTROL!$C$29, 41.5473, 41.543) * CHOOSE( CONTROL!$C$12, $D$11, 100%, $F$11)</f>
        <v>41.5473</v>
      </c>
      <c r="E997" s="12">
        <f>CHOOSE( CONTROL!$C$29, 41.5375, 41.5332) * CHOOSE( CONTROL!$C$12, $D$11, 100%, $F$11)</f>
        <v>41.537500000000001</v>
      </c>
      <c r="F997" s="4">
        <f>CHOOSE( CONTROL!$C$29, 42.5528, 42.5486) * CHOOSE(CONTROL!$C$12, $D$11, 100%, $F$11)</f>
        <v>42.552799999999998</v>
      </c>
      <c r="G997" s="8">
        <f>CHOOSE( CONTROL!$C$29, 40.4729, 40.4688) * CHOOSE( CONTROL!$C$12, $D$11, 100%, $F$11)</f>
        <v>40.472900000000003</v>
      </c>
      <c r="H997" s="4">
        <f>CHOOSE( CONTROL!$C$29, 41.403, 41.3989) * CHOOSE(CONTROL!$C$12, $D$11, 100%, $F$11)</f>
        <v>41.402999999999999</v>
      </c>
      <c r="I997" s="8">
        <f>CHOOSE( CONTROL!$C$29, 39.868, 39.8639) * CHOOSE(CONTROL!$C$12, $D$11, 100%, $F$11)</f>
        <v>39.868000000000002</v>
      </c>
      <c r="J997" s="4">
        <f>CHOOSE( CONTROL!$C$29, 39.7742, 39.7701) * CHOOSE(CONTROL!$C$12, $D$11, 100%, $F$11)</f>
        <v>39.7742</v>
      </c>
      <c r="K997" s="4"/>
      <c r="L997" s="9">
        <v>28.568200000000001</v>
      </c>
      <c r="M997" s="9">
        <v>11.6745</v>
      </c>
      <c r="N997" s="9">
        <v>4.7850000000000001</v>
      </c>
      <c r="O997" s="9">
        <v>0.36249999999999999</v>
      </c>
      <c r="P997" s="9">
        <v>1.1798</v>
      </c>
      <c r="Q997" s="9">
        <v>19.053000000000001</v>
      </c>
      <c r="R997" s="9"/>
      <c r="S997" s="11"/>
    </row>
    <row r="998" spans="1:19" ht="15.75">
      <c r="A998" s="13">
        <v>72259</v>
      </c>
      <c r="B998" s="8">
        <f>43.3538 * CHOOSE(CONTROL!$C$12, $D$11, 100%, $F$11)</f>
        <v>43.3538</v>
      </c>
      <c r="C998" s="8">
        <f>43.3643 * CHOOSE(CONTROL!$C$12, $D$11, 100%, $F$11)</f>
        <v>43.3643</v>
      </c>
      <c r="D998" s="8">
        <f>43.3687 * CHOOSE( CONTROL!$C$12, $D$11, 100%, $F$11)</f>
        <v>43.368699999999997</v>
      </c>
      <c r="E998" s="12">
        <f>43.3661 * CHOOSE( CONTROL!$C$12, $D$11, 100%, $F$11)</f>
        <v>43.366100000000003</v>
      </c>
      <c r="F998" s="4">
        <f>44.3611 * CHOOSE(CONTROL!$C$12, $D$11, 100%, $F$11)</f>
        <v>44.3611</v>
      </c>
      <c r="G998" s="8">
        <f>42.2564 * CHOOSE( CONTROL!$C$12, $D$11, 100%, $F$11)</f>
        <v>42.256399999999999</v>
      </c>
      <c r="H998" s="4">
        <f>43.1656 * CHOOSE(CONTROL!$C$12, $D$11, 100%, $F$11)</f>
        <v>43.165599999999998</v>
      </c>
      <c r="I998" s="8">
        <f>41.6282 * CHOOSE(CONTROL!$C$12, $D$11, 100%, $F$11)</f>
        <v>41.6282</v>
      </c>
      <c r="J998" s="4">
        <f>41.5369 * CHOOSE(CONTROL!$C$12, $D$11, 100%, $F$11)</f>
        <v>41.536900000000003</v>
      </c>
      <c r="K998" s="4"/>
      <c r="L998" s="9">
        <v>28.921800000000001</v>
      </c>
      <c r="M998" s="9">
        <v>12.063700000000001</v>
      </c>
      <c r="N998" s="9">
        <v>4.9444999999999997</v>
      </c>
      <c r="O998" s="9">
        <v>0.37459999999999999</v>
      </c>
      <c r="P998" s="9">
        <v>1.2192000000000001</v>
      </c>
      <c r="Q998" s="9">
        <v>19.688099999999999</v>
      </c>
      <c r="R998" s="9"/>
      <c r="S998" s="11"/>
    </row>
    <row r="999" spans="1:19" ht="15.75">
      <c r="A999" s="13">
        <v>72289</v>
      </c>
      <c r="B999" s="8">
        <f>46.7571 * CHOOSE(CONTROL!$C$12, $D$11, 100%, $F$11)</f>
        <v>46.757100000000001</v>
      </c>
      <c r="C999" s="8">
        <f>46.7675 * CHOOSE(CONTROL!$C$12, $D$11, 100%, $F$11)</f>
        <v>46.767499999999998</v>
      </c>
      <c r="D999" s="8">
        <f>46.7499 * CHOOSE( CONTROL!$C$12, $D$11, 100%, $F$11)</f>
        <v>46.749899999999997</v>
      </c>
      <c r="E999" s="12">
        <f>46.7552 * CHOOSE( CONTROL!$C$12, $D$11, 100%, $F$11)</f>
        <v>46.755200000000002</v>
      </c>
      <c r="F999" s="4">
        <f>47.7513 * CHOOSE(CONTROL!$C$12, $D$11, 100%, $F$11)</f>
        <v>47.751300000000001</v>
      </c>
      <c r="G999" s="8">
        <f>45.5863 * CHOOSE( CONTROL!$C$12, $D$11, 100%, $F$11)</f>
        <v>45.586300000000001</v>
      </c>
      <c r="H999" s="4">
        <f>46.4704 * CHOOSE(CONTROL!$C$12, $D$11, 100%, $F$11)</f>
        <v>46.470399999999998</v>
      </c>
      <c r="I999" s="8">
        <f>44.9143 * CHOOSE(CONTROL!$C$12, $D$11, 100%, $F$11)</f>
        <v>44.914299999999997</v>
      </c>
      <c r="J999" s="4">
        <f>44.7979 * CHOOSE(CONTROL!$C$12, $D$11, 100%, $F$11)</f>
        <v>44.797899999999998</v>
      </c>
      <c r="K999" s="4"/>
      <c r="L999" s="9">
        <v>26.515499999999999</v>
      </c>
      <c r="M999" s="9">
        <v>11.6745</v>
      </c>
      <c r="N999" s="9">
        <v>4.7850000000000001</v>
      </c>
      <c r="O999" s="9">
        <v>0.36249999999999999</v>
      </c>
      <c r="P999" s="9">
        <v>1.2522</v>
      </c>
      <c r="Q999" s="9">
        <v>19.053000000000001</v>
      </c>
      <c r="R999" s="9"/>
      <c r="S999" s="11"/>
    </row>
    <row r="1000" spans="1:19" ht="15.75">
      <c r="A1000" s="13">
        <v>72320</v>
      </c>
      <c r="B1000" s="8">
        <f>46.6721 * CHOOSE(CONTROL!$C$12, $D$11, 100%, $F$11)</f>
        <v>46.6721</v>
      </c>
      <c r="C1000" s="8">
        <f>46.6825 * CHOOSE(CONTROL!$C$12, $D$11, 100%, $F$11)</f>
        <v>46.682499999999997</v>
      </c>
      <c r="D1000" s="8">
        <f>46.6669 * CHOOSE( CONTROL!$C$12, $D$11, 100%, $F$11)</f>
        <v>46.666899999999998</v>
      </c>
      <c r="E1000" s="12">
        <f>46.6715 * CHOOSE( CONTROL!$C$12, $D$11, 100%, $F$11)</f>
        <v>46.671500000000002</v>
      </c>
      <c r="F1000" s="4">
        <f>47.6663 * CHOOSE(CONTROL!$C$12, $D$11, 100%, $F$11)</f>
        <v>47.6663</v>
      </c>
      <c r="G1000" s="8">
        <f>45.5049 * CHOOSE( CONTROL!$C$12, $D$11, 100%, $F$11)</f>
        <v>45.504899999999999</v>
      </c>
      <c r="H1000" s="4">
        <f>46.3875 * CHOOSE(CONTROL!$C$12, $D$11, 100%, $F$11)</f>
        <v>46.387500000000003</v>
      </c>
      <c r="I1000" s="8">
        <f>44.84 * CHOOSE(CONTROL!$C$12, $D$11, 100%, $F$11)</f>
        <v>44.84</v>
      </c>
      <c r="J1000" s="4">
        <f>44.7164 * CHOOSE(CONTROL!$C$12, $D$11, 100%, $F$11)</f>
        <v>44.7164</v>
      </c>
      <c r="K1000" s="4"/>
      <c r="L1000" s="9">
        <v>27.3993</v>
      </c>
      <c r="M1000" s="9">
        <v>12.063700000000001</v>
      </c>
      <c r="N1000" s="9">
        <v>4.9444999999999997</v>
      </c>
      <c r="O1000" s="9">
        <v>0.37459999999999999</v>
      </c>
      <c r="P1000" s="9">
        <v>1.2939000000000001</v>
      </c>
      <c r="Q1000" s="9">
        <v>19.688099999999999</v>
      </c>
      <c r="R1000" s="9"/>
      <c r="S1000" s="11"/>
    </row>
    <row r="1001" spans="1:19" ht="15.75">
      <c r="A1001" s="13">
        <v>72351</v>
      </c>
      <c r="B1001" s="8">
        <f>48.4557 * CHOOSE(CONTROL!$C$12, $D$11, 100%, $F$11)</f>
        <v>48.4557</v>
      </c>
      <c r="C1001" s="8">
        <f>48.4661 * CHOOSE(CONTROL!$C$12, $D$11, 100%, $F$11)</f>
        <v>48.466099999999997</v>
      </c>
      <c r="D1001" s="8">
        <f>48.4638 * CHOOSE( CONTROL!$C$12, $D$11, 100%, $F$11)</f>
        <v>48.463799999999999</v>
      </c>
      <c r="E1001" s="12">
        <f>48.4635 * CHOOSE( CONTROL!$C$12, $D$11, 100%, $F$11)</f>
        <v>48.463500000000003</v>
      </c>
      <c r="F1001" s="4">
        <f>49.4786 * CHOOSE(CONTROL!$C$12, $D$11, 100%, $F$11)</f>
        <v>49.4786</v>
      </c>
      <c r="G1001" s="8">
        <f>47.2607 * CHOOSE( CONTROL!$C$12, $D$11, 100%, $F$11)</f>
        <v>47.2607</v>
      </c>
      <c r="H1001" s="4">
        <f>48.154 * CHOOSE(CONTROL!$C$12, $D$11, 100%, $F$11)</f>
        <v>48.154000000000003</v>
      </c>
      <c r="I1001" s="8">
        <f>46.5573 * CHOOSE(CONTROL!$C$12, $D$11, 100%, $F$11)</f>
        <v>46.557299999999998</v>
      </c>
      <c r="J1001" s="4">
        <f>46.4255 * CHOOSE(CONTROL!$C$12, $D$11, 100%, $F$11)</f>
        <v>46.4255</v>
      </c>
      <c r="K1001" s="4"/>
      <c r="L1001" s="9">
        <v>27.3993</v>
      </c>
      <c r="M1001" s="9">
        <v>12.063700000000001</v>
      </c>
      <c r="N1001" s="9">
        <v>4.9444999999999997</v>
      </c>
      <c r="O1001" s="9">
        <v>0.37459999999999999</v>
      </c>
      <c r="P1001" s="9">
        <v>1.2939000000000001</v>
      </c>
      <c r="Q1001" s="9">
        <v>19.688099999999999</v>
      </c>
      <c r="R1001" s="9"/>
      <c r="S1001" s="11"/>
    </row>
    <row r="1002" spans="1:19" ht="15.75">
      <c r="A1002" s="13">
        <v>72379</v>
      </c>
      <c r="B1002" s="8">
        <f>45.3234 * CHOOSE(CONTROL!$C$12, $D$11, 100%, $F$11)</f>
        <v>45.323399999999999</v>
      </c>
      <c r="C1002" s="8">
        <f>45.3338 * CHOOSE(CONTROL!$C$12, $D$11, 100%, $F$11)</f>
        <v>45.333799999999997</v>
      </c>
      <c r="D1002" s="8">
        <f>45.3338 * CHOOSE( CONTROL!$C$12, $D$11, 100%, $F$11)</f>
        <v>45.333799999999997</v>
      </c>
      <c r="E1002" s="12">
        <f>45.3327 * CHOOSE( CONTROL!$C$12, $D$11, 100%, $F$11)</f>
        <v>45.332700000000003</v>
      </c>
      <c r="F1002" s="4">
        <f>46.3385 * CHOOSE(CONTROL!$C$12, $D$11, 100%, $F$11)</f>
        <v>46.338500000000003</v>
      </c>
      <c r="G1002" s="8">
        <f>44.2073 * CHOOSE( CONTROL!$C$12, $D$11, 100%, $F$11)</f>
        <v>44.207299999999996</v>
      </c>
      <c r="H1002" s="4">
        <f>45.0932 * CHOOSE(CONTROL!$C$12, $D$11, 100%, $F$11)</f>
        <v>45.093200000000003</v>
      </c>
      <c r="I1002" s="8">
        <f>43.5435 * CHOOSE(CONTROL!$C$12, $D$11, 100%, $F$11)</f>
        <v>43.543500000000002</v>
      </c>
      <c r="J1002" s="4">
        <f>43.4241 * CHOOSE(CONTROL!$C$12, $D$11, 100%, $F$11)</f>
        <v>43.424100000000003</v>
      </c>
      <c r="K1002" s="4"/>
      <c r="L1002" s="9">
        <v>24.747800000000002</v>
      </c>
      <c r="M1002" s="9">
        <v>10.8962</v>
      </c>
      <c r="N1002" s="9">
        <v>4.4660000000000002</v>
      </c>
      <c r="O1002" s="9">
        <v>0.33829999999999999</v>
      </c>
      <c r="P1002" s="9">
        <v>1.1687000000000001</v>
      </c>
      <c r="Q1002" s="9">
        <v>17.782800000000002</v>
      </c>
      <c r="R1002" s="9"/>
      <c r="S1002" s="11"/>
    </row>
    <row r="1003" spans="1:19" ht="15.75">
      <c r="A1003" s="13">
        <v>72410</v>
      </c>
      <c r="B1003" s="8">
        <f>44.3587 * CHOOSE(CONTROL!$C$12, $D$11, 100%, $F$11)</f>
        <v>44.358699999999999</v>
      </c>
      <c r="C1003" s="8">
        <f>44.3691 * CHOOSE(CONTROL!$C$12, $D$11, 100%, $F$11)</f>
        <v>44.369100000000003</v>
      </c>
      <c r="D1003" s="8">
        <f>44.349 * CHOOSE( CONTROL!$C$12, $D$11, 100%, $F$11)</f>
        <v>44.348999999999997</v>
      </c>
      <c r="E1003" s="12">
        <f>44.3552 * CHOOSE( CONTROL!$C$12, $D$11, 100%, $F$11)</f>
        <v>44.355200000000004</v>
      </c>
      <c r="F1003" s="4">
        <f>45.3576 * CHOOSE(CONTROL!$C$12, $D$11, 100%, $F$11)</f>
        <v>45.357599999999998</v>
      </c>
      <c r="G1003" s="8">
        <f>43.2464 * CHOOSE( CONTROL!$C$12, $D$11, 100%, $F$11)</f>
        <v>43.246400000000001</v>
      </c>
      <c r="H1003" s="4">
        <f>44.137 * CHOOSE(CONTROL!$C$12, $D$11, 100%, $F$11)</f>
        <v>44.137</v>
      </c>
      <c r="I1003" s="8">
        <f>42.5791 * CHOOSE(CONTROL!$C$12, $D$11, 100%, $F$11)</f>
        <v>42.579099999999997</v>
      </c>
      <c r="J1003" s="4">
        <f>42.4997 * CHOOSE(CONTROL!$C$12, $D$11, 100%, $F$11)</f>
        <v>42.499699999999997</v>
      </c>
      <c r="K1003" s="4"/>
      <c r="L1003" s="9">
        <v>27.3993</v>
      </c>
      <c r="M1003" s="9">
        <v>12.063700000000001</v>
      </c>
      <c r="N1003" s="9">
        <v>4.9444999999999997</v>
      </c>
      <c r="O1003" s="9">
        <v>0.37459999999999999</v>
      </c>
      <c r="P1003" s="9">
        <v>1.2939000000000001</v>
      </c>
      <c r="Q1003" s="9">
        <v>19.688099999999999</v>
      </c>
      <c r="R1003" s="9"/>
      <c r="S1003" s="11"/>
    </row>
    <row r="1004" spans="1:19" ht="15.75">
      <c r="A1004" s="13">
        <v>72440</v>
      </c>
      <c r="B1004" s="8">
        <f>45.0328 * CHOOSE(CONTROL!$C$12, $D$11, 100%, $F$11)</f>
        <v>45.032800000000002</v>
      </c>
      <c r="C1004" s="8">
        <f>45.0432 * CHOOSE(CONTROL!$C$12, $D$11, 100%, $F$11)</f>
        <v>45.043199999999999</v>
      </c>
      <c r="D1004" s="8">
        <f>45.0464 * CHOOSE( CONTROL!$C$12, $D$11, 100%, $F$11)</f>
        <v>45.046399999999998</v>
      </c>
      <c r="E1004" s="12">
        <f>45.0442 * CHOOSE( CONTROL!$C$12, $D$11, 100%, $F$11)</f>
        <v>45.044199999999996</v>
      </c>
      <c r="F1004" s="4">
        <f>46.0401 * CHOOSE(CONTROL!$C$12, $D$11, 100%, $F$11)</f>
        <v>46.040100000000002</v>
      </c>
      <c r="G1004" s="8">
        <f>43.8914 * CHOOSE( CONTROL!$C$12, $D$11, 100%, $F$11)</f>
        <v>43.891399999999997</v>
      </c>
      <c r="H1004" s="4">
        <f>44.8023 * CHOOSE(CONTROL!$C$12, $D$11, 100%, $F$11)</f>
        <v>44.802300000000002</v>
      </c>
      <c r="I1004" s="8">
        <f>43.2155 * CHOOSE(CONTROL!$C$12, $D$11, 100%, $F$11)</f>
        <v>43.215499999999999</v>
      </c>
      <c r="J1004" s="4">
        <f>43.1457 * CHOOSE(CONTROL!$C$12, $D$11, 100%, $F$11)</f>
        <v>43.145699999999998</v>
      </c>
      <c r="K1004" s="4"/>
      <c r="L1004" s="9">
        <v>27.988800000000001</v>
      </c>
      <c r="M1004" s="9">
        <v>11.6745</v>
      </c>
      <c r="N1004" s="9">
        <v>4.7850000000000001</v>
      </c>
      <c r="O1004" s="9">
        <v>0.36249999999999999</v>
      </c>
      <c r="P1004" s="9">
        <v>1.1798</v>
      </c>
      <c r="Q1004" s="9">
        <v>19.053000000000001</v>
      </c>
      <c r="R1004" s="9"/>
      <c r="S1004" s="11"/>
    </row>
    <row r="1005" spans="1:19" ht="15.75">
      <c r="A1005" s="13">
        <v>72471</v>
      </c>
      <c r="B1005" s="8">
        <f>CHOOSE( CONTROL!$C$29, 46.2368, 46.2326) * CHOOSE(CONTROL!$C$12, $D$11, 100%, $F$11)</f>
        <v>46.236800000000002</v>
      </c>
      <c r="C1005" s="8">
        <f>CHOOSE( CONTROL!$C$29, 46.2473, 46.243) * CHOOSE(CONTROL!$C$12, $D$11, 100%, $F$11)</f>
        <v>46.247300000000003</v>
      </c>
      <c r="D1005" s="8">
        <f>CHOOSE( CONTROL!$C$29, 46.2252, 46.221) * CHOOSE( CONTROL!$C$12, $D$11, 100%, $F$11)</f>
        <v>46.225200000000001</v>
      </c>
      <c r="E1005" s="12">
        <f>CHOOSE( CONTROL!$C$29, 46.2316, 46.2274) * CHOOSE( CONTROL!$C$12, $D$11, 100%, $F$11)</f>
        <v>46.2316</v>
      </c>
      <c r="F1005" s="4">
        <f>CHOOSE( CONTROL!$C$29, 47.2117, 47.2075) * CHOOSE(CONTROL!$C$12, $D$11, 100%, $F$11)</f>
        <v>47.2117</v>
      </c>
      <c r="G1005" s="8">
        <f>CHOOSE( CONTROL!$C$29, 45.0463, 45.0422) * CHOOSE( CONTROL!$C$12, $D$11, 100%, $F$11)</f>
        <v>45.046300000000002</v>
      </c>
      <c r="H1005" s="4">
        <f>CHOOSE( CONTROL!$C$29, 45.9444, 45.9403) * CHOOSE(CONTROL!$C$12, $D$11, 100%, $F$11)</f>
        <v>45.944400000000002</v>
      </c>
      <c r="I1005" s="8">
        <f>CHOOSE( CONTROL!$C$29, 44.3482, 44.3442) * CHOOSE(CONTROL!$C$12, $D$11, 100%, $F$11)</f>
        <v>44.348199999999999</v>
      </c>
      <c r="J1005" s="4">
        <f>CHOOSE( CONTROL!$C$29, 44.2994, 44.2953) * CHOOSE(CONTROL!$C$12, $D$11, 100%, $F$11)</f>
        <v>44.299399999999999</v>
      </c>
      <c r="K1005" s="4"/>
      <c r="L1005" s="9">
        <v>29.520499999999998</v>
      </c>
      <c r="M1005" s="9">
        <v>12.063700000000001</v>
      </c>
      <c r="N1005" s="9">
        <v>4.9444999999999997</v>
      </c>
      <c r="O1005" s="9">
        <v>0.37459999999999999</v>
      </c>
      <c r="P1005" s="9">
        <v>1.2192000000000001</v>
      </c>
      <c r="Q1005" s="9">
        <v>19.688099999999999</v>
      </c>
      <c r="R1005" s="9"/>
      <c r="S1005" s="11"/>
    </row>
    <row r="1006" spans="1:19" ht="15.75">
      <c r="A1006" s="13">
        <v>72501</v>
      </c>
      <c r="B1006" s="8">
        <f>CHOOSE( CONTROL!$C$29, 45.4936, 45.4894) * CHOOSE(CONTROL!$C$12, $D$11, 100%, $F$11)</f>
        <v>45.493600000000001</v>
      </c>
      <c r="C1006" s="8">
        <f>CHOOSE( CONTROL!$C$29, 45.5041, 45.4998) * CHOOSE(CONTROL!$C$12, $D$11, 100%, $F$11)</f>
        <v>45.504100000000001</v>
      </c>
      <c r="D1006" s="8">
        <f>CHOOSE( CONTROL!$C$29, 45.4764, 45.4721) * CHOOSE( CONTROL!$C$12, $D$11, 100%, $F$11)</f>
        <v>45.476399999999998</v>
      </c>
      <c r="E1006" s="12">
        <f>CHOOSE( CONTROL!$C$29, 45.4848, 45.4806) * CHOOSE( CONTROL!$C$12, $D$11, 100%, $F$11)</f>
        <v>45.4848</v>
      </c>
      <c r="F1006" s="4">
        <f>CHOOSE( CONTROL!$C$29, 46.4581, 46.4538) * CHOOSE(CONTROL!$C$12, $D$11, 100%, $F$11)</f>
        <v>46.458100000000002</v>
      </c>
      <c r="G1006" s="8">
        <f>CHOOSE( CONTROL!$C$29, 44.3206, 44.3164) * CHOOSE( CONTROL!$C$12, $D$11, 100%, $F$11)</f>
        <v>44.320599999999999</v>
      </c>
      <c r="H1006" s="4">
        <f>CHOOSE( CONTROL!$C$29, 45.2098, 45.2056) * CHOOSE(CONTROL!$C$12, $D$11, 100%, $F$11)</f>
        <v>45.209800000000001</v>
      </c>
      <c r="I1006" s="8">
        <f>CHOOSE( CONTROL!$C$29, 43.6379, 43.6338) * CHOOSE(CONTROL!$C$12, $D$11, 100%, $F$11)</f>
        <v>43.637900000000002</v>
      </c>
      <c r="J1006" s="4">
        <f>CHOOSE( CONTROL!$C$29, 43.5872, 43.5832) * CHOOSE(CONTROL!$C$12, $D$11, 100%, $F$11)</f>
        <v>43.587200000000003</v>
      </c>
      <c r="K1006" s="4"/>
      <c r="L1006" s="9">
        <v>28.568200000000001</v>
      </c>
      <c r="M1006" s="9">
        <v>11.6745</v>
      </c>
      <c r="N1006" s="9">
        <v>4.7850000000000001</v>
      </c>
      <c r="O1006" s="9">
        <v>0.36249999999999999</v>
      </c>
      <c r="P1006" s="9">
        <v>1.1798</v>
      </c>
      <c r="Q1006" s="9">
        <v>19.053000000000001</v>
      </c>
      <c r="R1006" s="9"/>
      <c r="S1006" s="11"/>
    </row>
    <row r="1007" spans="1:19" ht="15.75">
      <c r="A1007" s="13">
        <v>72532</v>
      </c>
      <c r="B1007" s="8">
        <f>CHOOSE( CONTROL!$C$29, 47.4508, 47.4466) * CHOOSE(CONTROL!$C$12, $D$11, 100%, $F$11)</f>
        <v>47.450800000000001</v>
      </c>
      <c r="C1007" s="8">
        <f>CHOOSE( CONTROL!$C$29, 47.4613, 47.457) * CHOOSE(CONTROL!$C$12, $D$11, 100%, $F$11)</f>
        <v>47.461300000000001</v>
      </c>
      <c r="D1007" s="8">
        <f>CHOOSE( CONTROL!$C$29, 47.4674, 47.4631) * CHOOSE( CONTROL!$C$12, $D$11, 100%, $F$11)</f>
        <v>47.467399999999998</v>
      </c>
      <c r="E1007" s="12">
        <f>CHOOSE( CONTROL!$C$29, 47.4636, 47.4593) * CHOOSE( CONTROL!$C$12, $D$11, 100%, $F$11)</f>
        <v>47.4636</v>
      </c>
      <c r="F1007" s="4">
        <f>CHOOSE( CONTROL!$C$29, 48.4607, 48.4564) * CHOOSE(CONTROL!$C$12, $D$11, 100%, $F$11)</f>
        <v>48.460700000000003</v>
      </c>
      <c r="G1007" s="8">
        <f>CHOOSE( CONTROL!$C$29, 46.2544, 46.2503) * CHOOSE( CONTROL!$C$12, $D$11, 100%, $F$11)</f>
        <v>46.254399999999997</v>
      </c>
      <c r="H1007" s="4">
        <f>CHOOSE( CONTROL!$C$29, 47.1618, 47.1577) * CHOOSE(CONTROL!$C$12, $D$11, 100%, $F$11)</f>
        <v>47.161799999999999</v>
      </c>
      <c r="I1007" s="8">
        <f>CHOOSE( CONTROL!$C$29, 45.5695, 45.5654) * CHOOSE(CONTROL!$C$12, $D$11, 100%, $F$11)</f>
        <v>45.569499999999998</v>
      </c>
      <c r="J1007" s="4">
        <f>CHOOSE( CONTROL!$C$29, 45.4626, 45.4586) * CHOOSE(CONTROL!$C$12, $D$11, 100%, $F$11)</f>
        <v>45.462600000000002</v>
      </c>
      <c r="K1007" s="4"/>
      <c r="L1007" s="9">
        <v>29.520499999999998</v>
      </c>
      <c r="M1007" s="9">
        <v>12.063700000000001</v>
      </c>
      <c r="N1007" s="9">
        <v>4.9444999999999997</v>
      </c>
      <c r="O1007" s="9">
        <v>0.37459999999999999</v>
      </c>
      <c r="P1007" s="9">
        <v>1.2192000000000001</v>
      </c>
      <c r="Q1007" s="9">
        <v>19.688099999999999</v>
      </c>
      <c r="R1007" s="9"/>
      <c r="S1007" s="11"/>
    </row>
    <row r="1008" spans="1:19" ht="15.75">
      <c r="A1008" s="13">
        <v>72563</v>
      </c>
      <c r="B1008" s="8">
        <f>CHOOSE( CONTROL!$C$29, 43.7887, 43.7844) * CHOOSE(CONTROL!$C$12, $D$11, 100%, $F$11)</f>
        <v>43.788699999999999</v>
      </c>
      <c r="C1008" s="8">
        <f>CHOOSE( CONTROL!$C$29, 43.7991, 43.7949) * CHOOSE(CONTROL!$C$12, $D$11, 100%, $F$11)</f>
        <v>43.799100000000003</v>
      </c>
      <c r="D1008" s="8">
        <f>CHOOSE( CONTROL!$C$29, 43.8217, 43.8175) * CHOOSE( CONTROL!$C$12, $D$11, 100%, $F$11)</f>
        <v>43.8217</v>
      </c>
      <c r="E1008" s="12">
        <f>CHOOSE( CONTROL!$C$29, 43.8119, 43.8077) * CHOOSE( CONTROL!$C$12, $D$11, 100%, $F$11)</f>
        <v>43.811900000000001</v>
      </c>
      <c r="F1008" s="4">
        <f>CHOOSE( CONTROL!$C$29, 44.8272, 44.823) * CHOOSE(CONTROL!$C$12, $D$11, 100%, $F$11)</f>
        <v>44.827199999999998</v>
      </c>
      <c r="G1008" s="8">
        <f>CHOOSE( CONTROL!$C$29, 42.6903, 42.6862) * CHOOSE( CONTROL!$C$12, $D$11, 100%, $F$11)</f>
        <v>42.690300000000001</v>
      </c>
      <c r="H1008" s="4">
        <f>CHOOSE( CONTROL!$C$29, 43.6201, 43.6159) * CHOOSE(CONTROL!$C$12, $D$11, 100%, $F$11)</f>
        <v>43.620100000000001</v>
      </c>
      <c r="I1008" s="8">
        <f>CHOOSE( CONTROL!$C$29, 42.0502, 42.0461) * CHOOSE(CONTROL!$C$12, $D$11, 100%, $F$11)</f>
        <v>42.050199999999997</v>
      </c>
      <c r="J1008" s="4">
        <f>CHOOSE( CONTROL!$C$29, 41.9536, 41.9495) * CHOOSE(CONTROL!$C$12, $D$11, 100%, $F$11)</f>
        <v>41.953600000000002</v>
      </c>
      <c r="K1008" s="4"/>
      <c r="L1008" s="9">
        <v>29.520499999999998</v>
      </c>
      <c r="M1008" s="9">
        <v>12.063700000000001</v>
      </c>
      <c r="N1008" s="9">
        <v>4.9444999999999997</v>
      </c>
      <c r="O1008" s="9">
        <v>0.37459999999999999</v>
      </c>
      <c r="P1008" s="9">
        <v>1.2192000000000001</v>
      </c>
      <c r="Q1008" s="9">
        <v>19.688099999999999</v>
      </c>
      <c r="R1008" s="9"/>
      <c r="S1008" s="11"/>
    </row>
    <row r="1009" spans="1:19" ht="15.75">
      <c r="A1009" s="13">
        <v>72593</v>
      </c>
      <c r="B1009" s="8">
        <f>CHOOSE( CONTROL!$C$29, 42.8716, 42.8674) * CHOOSE(CONTROL!$C$12, $D$11, 100%, $F$11)</f>
        <v>42.871600000000001</v>
      </c>
      <c r="C1009" s="8">
        <f>CHOOSE( CONTROL!$C$29, 42.8821, 42.8778) * CHOOSE(CONTROL!$C$12, $D$11, 100%, $F$11)</f>
        <v>42.882100000000001</v>
      </c>
      <c r="D1009" s="8">
        <f>CHOOSE( CONTROL!$C$29, 42.9046, 42.9004) * CHOOSE( CONTROL!$C$12, $D$11, 100%, $F$11)</f>
        <v>42.904600000000002</v>
      </c>
      <c r="E1009" s="12">
        <f>CHOOSE( CONTROL!$C$29, 42.8948, 42.8906) * CHOOSE( CONTROL!$C$12, $D$11, 100%, $F$11)</f>
        <v>42.894799999999996</v>
      </c>
      <c r="F1009" s="4">
        <f>CHOOSE( CONTROL!$C$29, 43.9102, 43.906) * CHOOSE(CONTROL!$C$12, $D$11, 100%, $F$11)</f>
        <v>43.910200000000003</v>
      </c>
      <c r="G1009" s="8">
        <f>CHOOSE( CONTROL!$C$29, 41.7961, 41.7919) * CHOOSE( CONTROL!$C$12, $D$11, 100%, $F$11)</f>
        <v>41.796100000000003</v>
      </c>
      <c r="H1009" s="4">
        <f>CHOOSE( CONTROL!$C$29, 42.7261, 42.722) * CHOOSE(CONTROL!$C$12, $D$11, 100%, $F$11)</f>
        <v>42.726100000000002</v>
      </c>
      <c r="I1009" s="8">
        <f>CHOOSE( CONTROL!$C$29, 41.1693, 41.1652) * CHOOSE(CONTROL!$C$12, $D$11, 100%, $F$11)</f>
        <v>41.1693</v>
      </c>
      <c r="J1009" s="4">
        <f>CHOOSE( CONTROL!$C$29, 41.0748, 41.0708) * CHOOSE(CONTROL!$C$12, $D$11, 100%, $F$11)</f>
        <v>41.074800000000003</v>
      </c>
      <c r="K1009" s="4"/>
      <c r="L1009" s="9">
        <v>28.568200000000001</v>
      </c>
      <c r="M1009" s="9">
        <v>11.6745</v>
      </c>
      <c r="N1009" s="9">
        <v>4.7850000000000001</v>
      </c>
      <c r="O1009" s="9">
        <v>0.36249999999999999</v>
      </c>
      <c r="P1009" s="9">
        <v>1.1798</v>
      </c>
      <c r="Q1009" s="9">
        <v>19.053000000000001</v>
      </c>
      <c r="R1009" s="9"/>
      <c r="S1009" s="11"/>
    </row>
    <row r="1010" spans="1:19" ht="15.75">
      <c r="A1010" s="13">
        <v>72624</v>
      </c>
      <c r="B1010" s="8">
        <f>44.7715 * CHOOSE(CONTROL!$C$12, $D$11, 100%, $F$11)</f>
        <v>44.771500000000003</v>
      </c>
      <c r="C1010" s="8">
        <f>44.7819 * CHOOSE(CONTROL!$C$12, $D$11, 100%, $F$11)</f>
        <v>44.7819</v>
      </c>
      <c r="D1010" s="8">
        <f>44.7864 * CHOOSE( CONTROL!$C$12, $D$11, 100%, $F$11)</f>
        <v>44.7864</v>
      </c>
      <c r="E1010" s="12">
        <f>44.7838 * CHOOSE( CONTROL!$C$12, $D$11, 100%, $F$11)</f>
        <v>44.783799999999999</v>
      </c>
      <c r="F1010" s="4">
        <f>45.7787 * CHOOSE(CONTROL!$C$12, $D$11, 100%, $F$11)</f>
        <v>45.778700000000001</v>
      </c>
      <c r="G1010" s="8">
        <f>43.6383 * CHOOSE( CONTROL!$C$12, $D$11, 100%, $F$11)</f>
        <v>43.638300000000001</v>
      </c>
      <c r="H1010" s="4">
        <f>44.5476 * CHOOSE(CONTROL!$C$12, $D$11, 100%, $F$11)</f>
        <v>44.547600000000003</v>
      </c>
      <c r="I1010" s="8">
        <f>42.9873 * CHOOSE(CONTROL!$C$12, $D$11, 100%, $F$11)</f>
        <v>42.987299999999998</v>
      </c>
      <c r="J1010" s="4">
        <f>42.8953 * CHOOSE(CONTROL!$C$12, $D$11, 100%, $F$11)</f>
        <v>42.895299999999999</v>
      </c>
      <c r="K1010" s="4"/>
      <c r="L1010" s="9">
        <v>28.921800000000001</v>
      </c>
      <c r="M1010" s="9">
        <v>12.063700000000001</v>
      </c>
      <c r="N1010" s="9">
        <v>4.9444999999999997</v>
      </c>
      <c r="O1010" s="9">
        <v>0.37459999999999999</v>
      </c>
      <c r="P1010" s="9">
        <v>1.2192000000000001</v>
      </c>
      <c r="Q1010" s="9">
        <v>19.688099999999999</v>
      </c>
      <c r="R1010" s="9"/>
      <c r="S1010" s="11"/>
    </row>
    <row r="1011" spans="1:19" ht="15.75">
      <c r="A1011" s="13">
        <v>72654</v>
      </c>
      <c r="B1011" s="8">
        <f>48.2861 * CHOOSE(CONTROL!$C$12, $D$11, 100%, $F$11)</f>
        <v>48.286099999999998</v>
      </c>
      <c r="C1011" s="8">
        <f>48.2965 * CHOOSE(CONTROL!$C$12, $D$11, 100%, $F$11)</f>
        <v>48.296500000000002</v>
      </c>
      <c r="D1011" s="8">
        <f>48.2789 * CHOOSE( CONTROL!$C$12, $D$11, 100%, $F$11)</f>
        <v>48.2789</v>
      </c>
      <c r="E1011" s="12">
        <f>48.2842 * CHOOSE( CONTROL!$C$12, $D$11, 100%, $F$11)</f>
        <v>48.284199999999998</v>
      </c>
      <c r="F1011" s="4">
        <f>49.2803 * CHOOSE(CONTROL!$C$12, $D$11, 100%, $F$11)</f>
        <v>49.280299999999997</v>
      </c>
      <c r="G1011" s="8">
        <f>47.0767 * CHOOSE( CONTROL!$C$12, $D$11, 100%, $F$11)</f>
        <v>47.076700000000002</v>
      </c>
      <c r="H1011" s="4">
        <f>47.9608 * CHOOSE(CONTROL!$C$12, $D$11, 100%, $F$11)</f>
        <v>47.960799999999999</v>
      </c>
      <c r="I1011" s="8">
        <f>46.3801 * CHOOSE(CONTROL!$C$12, $D$11, 100%, $F$11)</f>
        <v>46.380099999999999</v>
      </c>
      <c r="J1011" s="4">
        <f>46.263 * CHOOSE(CONTROL!$C$12, $D$11, 100%, $F$11)</f>
        <v>46.262999999999998</v>
      </c>
      <c r="K1011" s="4"/>
      <c r="L1011" s="9">
        <v>26.515499999999999</v>
      </c>
      <c r="M1011" s="9">
        <v>11.6745</v>
      </c>
      <c r="N1011" s="9">
        <v>4.7850000000000001</v>
      </c>
      <c r="O1011" s="9">
        <v>0.36249999999999999</v>
      </c>
      <c r="P1011" s="9">
        <v>1.2522</v>
      </c>
      <c r="Q1011" s="9">
        <v>19.053000000000001</v>
      </c>
      <c r="R1011" s="9"/>
      <c r="S1011" s="11"/>
    </row>
    <row r="1012" spans="1:19" ht="15.75">
      <c r="A1012" s="13">
        <v>72685</v>
      </c>
      <c r="B1012" s="8">
        <f>48.1983 * CHOOSE(CONTROL!$C$12, $D$11, 100%, $F$11)</f>
        <v>48.198300000000003</v>
      </c>
      <c r="C1012" s="8">
        <f>48.2087 * CHOOSE(CONTROL!$C$12, $D$11, 100%, $F$11)</f>
        <v>48.2087</v>
      </c>
      <c r="D1012" s="8">
        <f>48.1931 * CHOOSE( CONTROL!$C$12, $D$11, 100%, $F$11)</f>
        <v>48.193100000000001</v>
      </c>
      <c r="E1012" s="12">
        <f>48.1977 * CHOOSE( CONTROL!$C$12, $D$11, 100%, $F$11)</f>
        <v>48.197699999999998</v>
      </c>
      <c r="F1012" s="4">
        <f>49.1925 * CHOOSE(CONTROL!$C$12, $D$11, 100%, $F$11)</f>
        <v>49.192500000000003</v>
      </c>
      <c r="G1012" s="8">
        <f>46.9926 * CHOOSE( CONTROL!$C$12, $D$11, 100%, $F$11)</f>
        <v>46.992600000000003</v>
      </c>
      <c r="H1012" s="4">
        <f>47.8752 * CHOOSE(CONTROL!$C$12, $D$11, 100%, $F$11)</f>
        <v>47.8752</v>
      </c>
      <c r="I1012" s="8">
        <f>46.3031 * CHOOSE(CONTROL!$C$12, $D$11, 100%, $F$11)</f>
        <v>46.303100000000001</v>
      </c>
      <c r="J1012" s="4">
        <f>46.1788 * CHOOSE(CONTROL!$C$12, $D$11, 100%, $F$11)</f>
        <v>46.178800000000003</v>
      </c>
      <c r="K1012" s="4"/>
      <c r="L1012" s="9">
        <v>27.3993</v>
      </c>
      <c r="M1012" s="9">
        <v>12.063700000000001</v>
      </c>
      <c r="N1012" s="9">
        <v>4.9444999999999997</v>
      </c>
      <c r="O1012" s="9">
        <v>0.37459999999999999</v>
      </c>
      <c r="P1012" s="9">
        <v>1.2939000000000001</v>
      </c>
      <c r="Q1012" s="9">
        <v>19.688099999999999</v>
      </c>
      <c r="R1012" s="9"/>
      <c r="S1012" s="11"/>
    </row>
    <row r="1013" spans="1:19" ht="15.75">
      <c r="A1013" s="13">
        <v>72716</v>
      </c>
      <c r="B1013" s="8">
        <f>50.0402 * CHOOSE(CONTROL!$C$12, $D$11, 100%, $F$11)</f>
        <v>50.040199999999999</v>
      </c>
      <c r="C1013" s="8">
        <f>50.0506 * CHOOSE(CONTROL!$C$12, $D$11, 100%, $F$11)</f>
        <v>50.050600000000003</v>
      </c>
      <c r="D1013" s="8">
        <f>50.0483 * CHOOSE( CONTROL!$C$12, $D$11, 100%, $F$11)</f>
        <v>50.048299999999998</v>
      </c>
      <c r="E1013" s="12">
        <f>50.048 * CHOOSE( CONTROL!$C$12, $D$11, 100%, $F$11)</f>
        <v>50.048000000000002</v>
      </c>
      <c r="F1013" s="4">
        <f>51.0631 * CHOOSE(CONTROL!$C$12, $D$11, 100%, $F$11)</f>
        <v>51.063099999999999</v>
      </c>
      <c r="G1013" s="8">
        <f>48.8052 * CHOOSE( CONTROL!$C$12, $D$11, 100%, $F$11)</f>
        <v>48.805199999999999</v>
      </c>
      <c r="H1013" s="4">
        <f>49.6986 * CHOOSE(CONTROL!$C$12, $D$11, 100%, $F$11)</f>
        <v>49.698599999999999</v>
      </c>
      <c r="I1013" s="8">
        <f>48.0763 * CHOOSE(CONTROL!$C$12, $D$11, 100%, $F$11)</f>
        <v>48.076300000000003</v>
      </c>
      <c r="J1013" s="4">
        <f>47.9437 * CHOOSE(CONTROL!$C$12, $D$11, 100%, $F$11)</f>
        <v>47.9437</v>
      </c>
      <c r="K1013" s="4"/>
      <c r="L1013" s="9">
        <v>27.3993</v>
      </c>
      <c r="M1013" s="9">
        <v>12.063700000000001</v>
      </c>
      <c r="N1013" s="9">
        <v>4.9444999999999997</v>
      </c>
      <c r="O1013" s="9">
        <v>0.37459999999999999</v>
      </c>
      <c r="P1013" s="9">
        <v>1.2939000000000001</v>
      </c>
      <c r="Q1013" s="9">
        <v>19.688099999999999</v>
      </c>
      <c r="R1013" s="9"/>
      <c r="S1013" s="11"/>
    </row>
    <row r="1014" spans="1:19" ht="15.75">
      <c r="A1014" s="13">
        <v>72744</v>
      </c>
      <c r="B1014" s="8">
        <f>46.8055 * CHOOSE(CONTROL!$C$12, $D$11, 100%, $F$11)</f>
        <v>46.805500000000002</v>
      </c>
      <c r="C1014" s="8">
        <f>46.8159 * CHOOSE(CONTROL!$C$12, $D$11, 100%, $F$11)</f>
        <v>46.815899999999999</v>
      </c>
      <c r="D1014" s="8">
        <f>46.8159 * CHOOSE( CONTROL!$C$12, $D$11, 100%, $F$11)</f>
        <v>46.815899999999999</v>
      </c>
      <c r="E1014" s="12">
        <f>46.8148 * CHOOSE( CONTROL!$C$12, $D$11, 100%, $F$11)</f>
        <v>46.814799999999998</v>
      </c>
      <c r="F1014" s="4">
        <f>47.8206 * CHOOSE(CONTROL!$C$12, $D$11, 100%, $F$11)</f>
        <v>47.820599999999999</v>
      </c>
      <c r="G1014" s="8">
        <f>45.652 * CHOOSE( CONTROL!$C$12, $D$11, 100%, $F$11)</f>
        <v>45.652000000000001</v>
      </c>
      <c r="H1014" s="4">
        <f>46.5379 * CHOOSE(CONTROL!$C$12, $D$11, 100%, $F$11)</f>
        <v>46.5379</v>
      </c>
      <c r="I1014" s="8">
        <f>44.9643 * CHOOSE(CONTROL!$C$12, $D$11, 100%, $F$11)</f>
        <v>44.964300000000001</v>
      </c>
      <c r="J1014" s="4">
        <f>44.8443 * CHOOSE(CONTROL!$C$12, $D$11, 100%, $F$11)</f>
        <v>44.844299999999997</v>
      </c>
      <c r="K1014" s="4"/>
      <c r="L1014" s="9">
        <v>24.747800000000002</v>
      </c>
      <c r="M1014" s="9">
        <v>10.8962</v>
      </c>
      <c r="N1014" s="9">
        <v>4.4660000000000002</v>
      </c>
      <c r="O1014" s="9">
        <v>0.33829999999999999</v>
      </c>
      <c r="P1014" s="9">
        <v>1.1687000000000001</v>
      </c>
      <c r="Q1014" s="9">
        <v>17.782800000000002</v>
      </c>
      <c r="R1014" s="9"/>
      <c r="S1014" s="11"/>
    </row>
    <row r="1015" spans="1:19" ht="15.75">
      <c r="A1015" s="13">
        <v>72775</v>
      </c>
      <c r="B1015" s="8">
        <f>45.8092 * CHOOSE(CONTROL!$C$12, $D$11, 100%, $F$11)</f>
        <v>45.809199999999997</v>
      </c>
      <c r="C1015" s="8">
        <f>45.8196 * CHOOSE(CONTROL!$C$12, $D$11, 100%, $F$11)</f>
        <v>45.819600000000001</v>
      </c>
      <c r="D1015" s="8">
        <f>45.7995 * CHOOSE( CONTROL!$C$12, $D$11, 100%, $F$11)</f>
        <v>45.799500000000002</v>
      </c>
      <c r="E1015" s="12">
        <f>45.8057 * CHOOSE( CONTROL!$C$12, $D$11, 100%, $F$11)</f>
        <v>45.805700000000002</v>
      </c>
      <c r="F1015" s="4">
        <f>46.8081 * CHOOSE(CONTROL!$C$12, $D$11, 100%, $F$11)</f>
        <v>46.808100000000003</v>
      </c>
      <c r="G1015" s="8">
        <f>44.6604 * CHOOSE( CONTROL!$C$12, $D$11, 100%, $F$11)</f>
        <v>44.660400000000003</v>
      </c>
      <c r="H1015" s="4">
        <f>45.551 * CHOOSE(CONTROL!$C$12, $D$11, 100%, $F$11)</f>
        <v>45.551000000000002</v>
      </c>
      <c r="I1015" s="8">
        <f>43.9697 * CHOOSE(CONTROL!$C$12, $D$11, 100%, $F$11)</f>
        <v>43.969700000000003</v>
      </c>
      <c r="J1015" s="4">
        <f>43.8896 * CHOOSE(CONTROL!$C$12, $D$11, 100%, $F$11)</f>
        <v>43.889600000000002</v>
      </c>
      <c r="K1015" s="4"/>
      <c r="L1015" s="9">
        <v>27.3993</v>
      </c>
      <c r="M1015" s="9">
        <v>12.063700000000001</v>
      </c>
      <c r="N1015" s="9">
        <v>4.9444999999999997</v>
      </c>
      <c r="O1015" s="9">
        <v>0.37459999999999999</v>
      </c>
      <c r="P1015" s="9">
        <v>1.2939000000000001</v>
      </c>
      <c r="Q1015" s="9">
        <v>19.688099999999999</v>
      </c>
      <c r="R1015" s="9"/>
      <c r="S1015" s="11"/>
    </row>
    <row r="1016" spans="1:19" ht="15.75">
      <c r="A1016" s="13">
        <v>72805</v>
      </c>
      <c r="B1016" s="8">
        <f>46.5054 * CHOOSE(CONTROL!$C$12, $D$11, 100%, $F$11)</f>
        <v>46.505400000000002</v>
      </c>
      <c r="C1016" s="8">
        <f>46.5158 * CHOOSE(CONTROL!$C$12, $D$11, 100%, $F$11)</f>
        <v>46.515799999999999</v>
      </c>
      <c r="D1016" s="8">
        <f>46.519 * CHOOSE( CONTROL!$C$12, $D$11, 100%, $F$11)</f>
        <v>46.518999999999998</v>
      </c>
      <c r="E1016" s="12">
        <f>46.5168 * CHOOSE( CONTROL!$C$12, $D$11, 100%, $F$11)</f>
        <v>46.516800000000003</v>
      </c>
      <c r="F1016" s="4">
        <f>47.5126 * CHOOSE(CONTROL!$C$12, $D$11, 100%, $F$11)</f>
        <v>47.512599999999999</v>
      </c>
      <c r="G1016" s="8">
        <f>45.3268 * CHOOSE( CONTROL!$C$12, $D$11, 100%, $F$11)</f>
        <v>45.326799999999999</v>
      </c>
      <c r="H1016" s="4">
        <f>46.2377 * CHOOSE(CONTROL!$C$12, $D$11, 100%, $F$11)</f>
        <v>46.237699999999997</v>
      </c>
      <c r="I1016" s="8">
        <f>44.6272 * CHOOSE(CONTROL!$C$12, $D$11, 100%, $F$11)</f>
        <v>44.627200000000002</v>
      </c>
      <c r="J1016" s="4">
        <f>44.5567 * CHOOSE(CONTROL!$C$12, $D$11, 100%, $F$11)</f>
        <v>44.556699999999999</v>
      </c>
      <c r="K1016" s="4"/>
      <c r="L1016" s="9">
        <v>27.988800000000001</v>
      </c>
      <c r="M1016" s="9">
        <v>11.6745</v>
      </c>
      <c r="N1016" s="9">
        <v>4.7850000000000001</v>
      </c>
      <c r="O1016" s="9">
        <v>0.36249999999999999</v>
      </c>
      <c r="P1016" s="9">
        <v>1.1798</v>
      </c>
      <c r="Q1016" s="9">
        <v>19.053000000000001</v>
      </c>
      <c r="R1016" s="9"/>
      <c r="S1016" s="11"/>
    </row>
    <row r="1017" spans="1:19" ht="15.75">
      <c r="A1017" s="13">
        <v>72836</v>
      </c>
      <c r="B1017" s="8">
        <f>CHOOSE( CONTROL!$C$29, 47.7487, 47.7444) * CHOOSE(CONTROL!$C$12, $D$11, 100%, $F$11)</f>
        <v>47.748699999999999</v>
      </c>
      <c r="C1017" s="8">
        <f>CHOOSE( CONTROL!$C$29, 47.7591, 47.7549) * CHOOSE(CONTROL!$C$12, $D$11, 100%, $F$11)</f>
        <v>47.759099999999997</v>
      </c>
      <c r="D1017" s="8">
        <f>CHOOSE( CONTROL!$C$29, 47.737, 47.7328) * CHOOSE( CONTROL!$C$12, $D$11, 100%, $F$11)</f>
        <v>47.737000000000002</v>
      </c>
      <c r="E1017" s="12">
        <f>CHOOSE( CONTROL!$C$29, 47.7434, 47.7392) * CHOOSE( CONTROL!$C$12, $D$11, 100%, $F$11)</f>
        <v>47.743400000000001</v>
      </c>
      <c r="F1017" s="4">
        <f>CHOOSE( CONTROL!$C$29, 48.7236, 48.7193) * CHOOSE(CONTROL!$C$12, $D$11, 100%, $F$11)</f>
        <v>48.723599999999998</v>
      </c>
      <c r="G1017" s="8">
        <f>CHOOSE( CONTROL!$C$29, 46.52, 46.5158) * CHOOSE( CONTROL!$C$12, $D$11, 100%, $F$11)</f>
        <v>46.52</v>
      </c>
      <c r="H1017" s="4">
        <f>CHOOSE( CONTROL!$C$29, 47.4181, 47.4139) * CHOOSE(CONTROL!$C$12, $D$11, 100%, $F$11)</f>
        <v>47.418100000000003</v>
      </c>
      <c r="I1017" s="8">
        <f>CHOOSE( CONTROL!$C$29, 45.7976, 45.7935) * CHOOSE(CONTROL!$C$12, $D$11, 100%, $F$11)</f>
        <v>45.797600000000003</v>
      </c>
      <c r="J1017" s="4">
        <f>CHOOSE( CONTROL!$C$29, 45.748, 45.7439) * CHOOSE(CONTROL!$C$12, $D$11, 100%, $F$11)</f>
        <v>45.747999999999998</v>
      </c>
      <c r="K1017" s="4"/>
      <c r="L1017" s="9">
        <v>29.520499999999998</v>
      </c>
      <c r="M1017" s="9">
        <v>12.063700000000001</v>
      </c>
      <c r="N1017" s="9">
        <v>4.9444999999999997</v>
      </c>
      <c r="O1017" s="9">
        <v>0.37459999999999999</v>
      </c>
      <c r="P1017" s="9">
        <v>1.2192000000000001</v>
      </c>
      <c r="Q1017" s="9">
        <v>19.688099999999999</v>
      </c>
      <c r="R1017" s="9"/>
      <c r="S1017" s="11"/>
    </row>
    <row r="1018" spans="1:19" ht="15.75">
      <c r="A1018" s="13">
        <v>72866</v>
      </c>
      <c r="B1018" s="8">
        <f>CHOOSE( CONTROL!$C$29, 46.9811, 46.9769) * CHOOSE(CONTROL!$C$12, $D$11, 100%, $F$11)</f>
        <v>46.981099999999998</v>
      </c>
      <c r="C1018" s="8">
        <f>CHOOSE( CONTROL!$C$29, 46.9916, 46.9873) * CHOOSE(CONTROL!$C$12, $D$11, 100%, $F$11)</f>
        <v>46.991599999999998</v>
      </c>
      <c r="D1018" s="8">
        <f>CHOOSE( CONTROL!$C$29, 46.9639, 46.9596) * CHOOSE( CONTROL!$C$12, $D$11, 100%, $F$11)</f>
        <v>46.963900000000002</v>
      </c>
      <c r="E1018" s="12">
        <f>CHOOSE( CONTROL!$C$29, 46.9723, 46.9681) * CHOOSE( CONTROL!$C$12, $D$11, 100%, $F$11)</f>
        <v>46.972299999999997</v>
      </c>
      <c r="F1018" s="4">
        <f>CHOOSE( CONTROL!$C$29, 47.9456, 47.9413) * CHOOSE(CONTROL!$C$12, $D$11, 100%, $F$11)</f>
        <v>47.945599999999999</v>
      </c>
      <c r="G1018" s="8">
        <f>CHOOSE( CONTROL!$C$29, 45.7705, 45.7664) * CHOOSE( CONTROL!$C$12, $D$11, 100%, $F$11)</f>
        <v>45.770499999999998</v>
      </c>
      <c r="H1018" s="4">
        <f>CHOOSE( CONTROL!$C$29, 46.6597, 46.6556) * CHOOSE(CONTROL!$C$12, $D$11, 100%, $F$11)</f>
        <v>46.659700000000001</v>
      </c>
      <c r="I1018" s="8">
        <f>CHOOSE( CONTROL!$C$29, 45.0639, 45.0599) * CHOOSE(CONTROL!$C$12, $D$11, 100%, $F$11)</f>
        <v>45.063899999999997</v>
      </c>
      <c r="J1018" s="4">
        <f>CHOOSE( CONTROL!$C$29, 45.0126, 45.0085) * CHOOSE(CONTROL!$C$12, $D$11, 100%, $F$11)</f>
        <v>45.012599999999999</v>
      </c>
      <c r="K1018" s="4"/>
      <c r="L1018" s="9">
        <v>28.568200000000001</v>
      </c>
      <c r="M1018" s="9">
        <v>11.6745</v>
      </c>
      <c r="N1018" s="9">
        <v>4.7850000000000001</v>
      </c>
      <c r="O1018" s="9">
        <v>0.36249999999999999</v>
      </c>
      <c r="P1018" s="9">
        <v>1.1798</v>
      </c>
      <c r="Q1018" s="9">
        <v>19.053000000000001</v>
      </c>
      <c r="R1018" s="9"/>
      <c r="S1018" s="11"/>
    </row>
    <row r="1019" spans="1:19" ht="15.75">
      <c r="A1019" s="13">
        <v>72897</v>
      </c>
      <c r="B1019" s="8">
        <f>CHOOSE( CONTROL!$C$29, 49.0023, 48.9981) * CHOOSE(CONTROL!$C$12, $D$11, 100%, $F$11)</f>
        <v>49.002299999999998</v>
      </c>
      <c r="C1019" s="8">
        <f>CHOOSE( CONTROL!$C$29, 49.0128, 49.0085) * CHOOSE(CONTROL!$C$12, $D$11, 100%, $F$11)</f>
        <v>49.012799999999999</v>
      </c>
      <c r="D1019" s="8">
        <f>CHOOSE( CONTROL!$C$29, 49.0189, 49.0147) * CHOOSE( CONTROL!$C$12, $D$11, 100%, $F$11)</f>
        <v>49.018900000000002</v>
      </c>
      <c r="E1019" s="12">
        <f>CHOOSE( CONTROL!$C$29, 49.0151, 49.0109) * CHOOSE( CONTROL!$C$12, $D$11, 100%, $F$11)</f>
        <v>49.015099999999997</v>
      </c>
      <c r="F1019" s="4">
        <f>CHOOSE( CONTROL!$C$29, 50.0122, 50.008) * CHOOSE(CONTROL!$C$12, $D$11, 100%, $F$11)</f>
        <v>50.0122</v>
      </c>
      <c r="G1019" s="8">
        <f>CHOOSE( CONTROL!$C$29, 47.7668, 47.7627) * CHOOSE( CONTROL!$C$12, $D$11, 100%, $F$11)</f>
        <v>47.766800000000003</v>
      </c>
      <c r="H1019" s="4">
        <f>CHOOSE( CONTROL!$C$29, 48.6742, 48.6701) * CHOOSE(CONTROL!$C$12, $D$11, 100%, $F$11)</f>
        <v>48.674199999999999</v>
      </c>
      <c r="I1019" s="8">
        <f>CHOOSE( CONTROL!$C$29, 47.0569, 47.0529) * CHOOSE(CONTROL!$C$12, $D$11, 100%, $F$11)</f>
        <v>47.056899999999999</v>
      </c>
      <c r="J1019" s="4">
        <f>CHOOSE( CONTROL!$C$29, 46.9493, 46.9452) * CHOOSE(CONTROL!$C$12, $D$11, 100%, $F$11)</f>
        <v>46.949300000000001</v>
      </c>
      <c r="K1019" s="4"/>
      <c r="L1019" s="9">
        <v>29.520499999999998</v>
      </c>
      <c r="M1019" s="9">
        <v>12.063700000000001</v>
      </c>
      <c r="N1019" s="9">
        <v>4.9444999999999997</v>
      </c>
      <c r="O1019" s="9">
        <v>0.37459999999999999</v>
      </c>
      <c r="P1019" s="9">
        <v>1.2192000000000001</v>
      </c>
      <c r="Q1019" s="9">
        <v>19.688099999999999</v>
      </c>
      <c r="R1019" s="9"/>
      <c r="S1019" s="11"/>
    </row>
    <row r="1020" spans="1:19" ht="15.75">
      <c r="A1020" s="13">
        <v>72928</v>
      </c>
      <c r="B1020" s="8">
        <f>CHOOSE( CONTROL!$C$29, 45.2204, 45.2162) * CHOOSE(CONTROL!$C$12, $D$11, 100%, $F$11)</f>
        <v>45.220399999999998</v>
      </c>
      <c r="C1020" s="8">
        <f>CHOOSE( CONTROL!$C$29, 45.2309, 45.2266) * CHOOSE(CONTROL!$C$12, $D$11, 100%, $F$11)</f>
        <v>45.230899999999998</v>
      </c>
      <c r="D1020" s="8">
        <f>CHOOSE( CONTROL!$C$29, 45.2535, 45.2492) * CHOOSE( CONTROL!$C$12, $D$11, 100%, $F$11)</f>
        <v>45.253500000000003</v>
      </c>
      <c r="E1020" s="12">
        <f>CHOOSE( CONTROL!$C$29, 45.2437, 45.2394) * CHOOSE( CONTROL!$C$12, $D$11, 100%, $F$11)</f>
        <v>45.243699999999997</v>
      </c>
      <c r="F1020" s="4">
        <f>CHOOSE( CONTROL!$C$29, 46.259, 46.2547) * CHOOSE(CONTROL!$C$12, $D$11, 100%, $F$11)</f>
        <v>46.259</v>
      </c>
      <c r="G1020" s="8">
        <f>CHOOSE( CONTROL!$C$29, 44.0859, 44.0818) * CHOOSE( CONTROL!$C$12, $D$11, 100%, $F$11)</f>
        <v>44.085900000000002</v>
      </c>
      <c r="H1020" s="4">
        <f>CHOOSE( CONTROL!$C$29, 45.0157, 45.0115) * CHOOSE(CONTROL!$C$12, $D$11, 100%, $F$11)</f>
        <v>45.015700000000002</v>
      </c>
      <c r="I1020" s="8">
        <f>CHOOSE( CONTROL!$C$29, 43.4228, 43.4187) * CHOOSE(CONTROL!$C$12, $D$11, 100%, $F$11)</f>
        <v>43.422800000000002</v>
      </c>
      <c r="J1020" s="4">
        <f>CHOOSE( CONTROL!$C$29, 43.3255, 43.3214) * CHOOSE(CONTROL!$C$12, $D$11, 100%, $F$11)</f>
        <v>43.325499999999998</v>
      </c>
      <c r="K1020" s="4"/>
      <c r="L1020" s="9">
        <v>29.520499999999998</v>
      </c>
      <c r="M1020" s="9">
        <v>12.063700000000001</v>
      </c>
      <c r="N1020" s="9">
        <v>4.9444999999999997</v>
      </c>
      <c r="O1020" s="9">
        <v>0.37459999999999999</v>
      </c>
      <c r="P1020" s="9">
        <v>1.2192000000000001</v>
      </c>
      <c r="Q1020" s="9">
        <v>19.688099999999999</v>
      </c>
      <c r="R1020" s="9"/>
      <c r="S1020" s="11"/>
    </row>
    <row r="1021" spans="1:19" ht="15.75">
      <c r="A1021" s="13">
        <v>72958</v>
      </c>
      <c r="B1021" s="8">
        <f>CHOOSE( CONTROL!$C$29, 44.2734, 44.2692) * CHOOSE(CONTROL!$C$12, $D$11, 100%, $F$11)</f>
        <v>44.273400000000002</v>
      </c>
      <c r="C1021" s="8">
        <f>CHOOSE( CONTROL!$C$29, 44.2838, 44.2796) * CHOOSE(CONTROL!$C$12, $D$11, 100%, $F$11)</f>
        <v>44.283799999999999</v>
      </c>
      <c r="D1021" s="8">
        <f>CHOOSE( CONTROL!$C$29, 44.3064, 44.3021) * CHOOSE( CONTROL!$C$12, $D$11, 100%, $F$11)</f>
        <v>44.306399999999996</v>
      </c>
      <c r="E1021" s="12">
        <f>CHOOSE( CONTROL!$C$29, 44.2966, 44.2924) * CHOOSE( CONTROL!$C$12, $D$11, 100%, $F$11)</f>
        <v>44.296599999999998</v>
      </c>
      <c r="F1021" s="4">
        <f>CHOOSE( CONTROL!$C$29, 45.312, 45.3077) * CHOOSE(CONTROL!$C$12, $D$11, 100%, $F$11)</f>
        <v>45.311999999999998</v>
      </c>
      <c r="G1021" s="8">
        <f>CHOOSE( CONTROL!$C$29, 43.1625, 43.1583) * CHOOSE( CONTROL!$C$12, $D$11, 100%, $F$11)</f>
        <v>43.162500000000001</v>
      </c>
      <c r="H1021" s="4">
        <f>CHOOSE( CONTROL!$C$29, 44.0925, 44.0884) * CHOOSE(CONTROL!$C$12, $D$11, 100%, $F$11)</f>
        <v>44.092500000000001</v>
      </c>
      <c r="I1021" s="8">
        <f>CHOOSE( CONTROL!$C$29, 42.5131, 42.5091) * CHOOSE(CONTROL!$C$12, $D$11, 100%, $F$11)</f>
        <v>42.513100000000001</v>
      </c>
      <c r="J1021" s="4">
        <f>CHOOSE( CONTROL!$C$29, 42.418, 42.4139) * CHOOSE(CONTROL!$C$12, $D$11, 100%, $F$11)</f>
        <v>42.417999999999999</v>
      </c>
      <c r="K1021" s="4"/>
      <c r="L1021" s="9">
        <v>28.568200000000001</v>
      </c>
      <c r="M1021" s="9">
        <v>11.6745</v>
      </c>
      <c r="N1021" s="9">
        <v>4.7850000000000001</v>
      </c>
      <c r="O1021" s="9">
        <v>0.36249999999999999</v>
      </c>
      <c r="P1021" s="9">
        <v>1.1798</v>
      </c>
      <c r="Q1021" s="9">
        <v>19.053000000000001</v>
      </c>
      <c r="R1021" s="9"/>
      <c r="S1021" s="11"/>
    </row>
    <row r="1022" spans="1:19" ht="15.75">
      <c r="A1022" s="13">
        <v>72989</v>
      </c>
      <c r="B1022" s="8">
        <f>46.2355 * CHOOSE(CONTROL!$C$12, $D$11, 100%, $F$11)</f>
        <v>46.235500000000002</v>
      </c>
      <c r="C1022" s="8">
        <f>46.246 * CHOOSE(CONTROL!$C$12, $D$11, 100%, $F$11)</f>
        <v>46.246000000000002</v>
      </c>
      <c r="D1022" s="8">
        <f>46.2504 * CHOOSE( CONTROL!$C$12, $D$11, 100%, $F$11)</f>
        <v>46.250399999999999</v>
      </c>
      <c r="E1022" s="12">
        <f>46.2478 * CHOOSE( CONTROL!$C$12, $D$11, 100%, $F$11)</f>
        <v>46.247799999999998</v>
      </c>
      <c r="F1022" s="4">
        <f>47.2428 * CHOOSE(CONTROL!$C$12, $D$11, 100%, $F$11)</f>
        <v>47.242800000000003</v>
      </c>
      <c r="G1022" s="8">
        <f>45.0654 * CHOOSE( CONTROL!$C$12, $D$11, 100%, $F$11)</f>
        <v>45.065399999999997</v>
      </c>
      <c r="H1022" s="4">
        <f>45.9746 * CHOOSE(CONTROL!$C$12, $D$11, 100%, $F$11)</f>
        <v>45.974600000000002</v>
      </c>
      <c r="I1022" s="8">
        <f>44.3908 * CHOOSE(CONTROL!$C$12, $D$11, 100%, $F$11)</f>
        <v>44.390799999999999</v>
      </c>
      <c r="J1022" s="4">
        <f>44.2981 * CHOOSE(CONTROL!$C$12, $D$11, 100%, $F$11)</f>
        <v>44.298099999999998</v>
      </c>
      <c r="K1022" s="4"/>
      <c r="L1022" s="9">
        <v>28.921800000000001</v>
      </c>
      <c r="M1022" s="9">
        <v>12.063700000000001</v>
      </c>
      <c r="N1022" s="9">
        <v>4.9444999999999997</v>
      </c>
      <c r="O1022" s="9">
        <v>0.37459999999999999</v>
      </c>
      <c r="P1022" s="9">
        <v>1.2192000000000001</v>
      </c>
      <c r="Q1022" s="9">
        <v>19.688099999999999</v>
      </c>
      <c r="R1022" s="9"/>
      <c r="S1022" s="11"/>
    </row>
    <row r="1023" spans="1:19" ht="15.75">
      <c r="A1023" s="13">
        <v>73019</v>
      </c>
      <c r="B1023" s="8">
        <f>49.865 * CHOOSE(CONTROL!$C$12, $D$11, 100%, $F$11)</f>
        <v>49.865000000000002</v>
      </c>
      <c r="C1023" s="8">
        <f>49.8755 * CHOOSE(CONTROL!$C$12, $D$11, 100%, $F$11)</f>
        <v>49.875500000000002</v>
      </c>
      <c r="D1023" s="8">
        <f>49.8579 * CHOOSE( CONTROL!$C$12, $D$11, 100%, $F$11)</f>
        <v>49.857900000000001</v>
      </c>
      <c r="E1023" s="12">
        <f>49.8632 * CHOOSE( CONTROL!$C$12, $D$11, 100%, $F$11)</f>
        <v>49.863199999999999</v>
      </c>
      <c r="F1023" s="4">
        <f>50.8593 * CHOOSE(CONTROL!$C$12, $D$11, 100%, $F$11)</f>
        <v>50.859299999999998</v>
      </c>
      <c r="G1023" s="8">
        <f>48.6158 * CHOOSE( CONTROL!$C$12, $D$11, 100%, $F$11)</f>
        <v>48.6158</v>
      </c>
      <c r="H1023" s="4">
        <f>49.4999 * CHOOSE(CONTROL!$C$12, $D$11, 100%, $F$11)</f>
        <v>49.499899999999997</v>
      </c>
      <c r="I1023" s="8">
        <f>47.8938 * CHOOSE(CONTROL!$C$12, $D$11, 100%, $F$11)</f>
        <v>47.893799999999999</v>
      </c>
      <c r="J1023" s="4">
        <f>47.7759 * CHOOSE(CONTROL!$C$12, $D$11, 100%, $F$11)</f>
        <v>47.7759</v>
      </c>
      <c r="K1023" s="4"/>
      <c r="L1023" s="9">
        <v>26.515499999999999</v>
      </c>
      <c r="M1023" s="9">
        <v>11.6745</v>
      </c>
      <c r="N1023" s="9">
        <v>4.7850000000000001</v>
      </c>
      <c r="O1023" s="9">
        <v>0.36249999999999999</v>
      </c>
      <c r="P1023" s="9">
        <v>1.2522</v>
      </c>
      <c r="Q1023" s="9">
        <v>19.053000000000001</v>
      </c>
      <c r="R1023" s="9"/>
      <c r="S1023" s="11"/>
    </row>
    <row r="1024" spans="1:19" ht="15.75">
      <c r="A1024" s="13">
        <v>73050</v>
      </c>
      <c r="B1024" s="8">
        <f>49.7744 * CHOOSE(CONTROL!$C$12, $D$11, 100%, $F$11)</f>
        <v>49.7744</v>
      </c>
      <c r="C1024" s="8">
        <f>49.7848 * CHOOSE(CONTROL!$C$12, $D$11, 100%, $F$11)</f>
        <v>49.784799999999997</v>
      </c>
      <c r="D1024" s="8">
        <f>49.7692 * CHOOSE( CONTROL!$C$12, $D$11, 100%, $F$11)</f>
        <v>49.769199999999998</v>
      </c>
      <c r="E1024" s="12">
        <f>49.7738 * CHOOSE( CONTROL!$C$12, $D$11, 100%, $F$11)</f>
        <v>49.773800000000001</v>
      </c>
      <c r="F1024" s="4">
        <f>50.7686 * CHOOSE(CONTROL!$C$12, $D$11, 100%, $F$11)</f>
        <v>50.768599999999999</v>
      </c>
      <c r="G1024" s="8">
        <f>48.5289 * CHOOSE( CONTROL!$C$12, $D$11, 100%, $F$11)</f>
        <v>48.5289</v>
      </c>
      <c r="H1024" s="4">
        <f>49.4115 * CHOOSE(CONTROL!$C$12, $D$11, 100%, $F$11)</f>
        <v>49.411499999999997</v>
      </c>
      <c r="I1024" s="8">
        <f>47.8141 * CHOOSE(CONTROL!$C$12, $D$11, 100%, $F$11)</f>
        <v>47.814100000000003</v>
      </c>
      <c r="J1024" s="4">
        <f>47.689 * CHOOSE(CONTROL!$C$12, $D$11, 100%, $F$11)</f>
        <v>47.689</v>
      </c>
      <c r="K1024" s="4"/>
      <c r="L1024" s="9">
        <v>27.3993</v>
      </c>
      <c r="M1024" s="9">
        <v>12.063700000000001</v>
      </c>
      <c r="N1024" s="9">
        <v>4.9444999999999997</v>
      </c>
      <c r="O1024" s="9">
        <v>0.37459999999999999</v>
      </c>
      <c r="P1024" s="9">
        <v>1.2939000000000001</v>
      </c>
      <c r="Q1024" s="9">
        <v>19.688099999999999</v>
      </c>
      <c r="R1024" s="9"/>
      <c r="S1024" s="11"/>
    </row>
    <row r="1025" spans="1:19" ht="15.75">
      <c r="A1025" s="13">
        <v>73081</v>
      </c>
      <c r="B1025" s="8">
        <f>51.6765 * CHOOSE(CONTROL!$C$12, $D$11, 100%, $F$11)</f>
        <v>51.676499999999997</v>
      </c>
      <c r="C1025" s="8">
        <f>51.687 * CHOOSE(CONTROL!$C$12, $D$11, 100%, $F$11)</f>
        <v>51.686999999999998</v>
      </c>
      <c r="D1025" s="8">
        <f>51.6846 * CHOOSE( CONTROL!$C$12, $D$11, 100%, $F$11)</f>
        <v>51.684600000000003</v>
      </c>
      <c r="E1025" s="12">
        <f>51.6844 * CHOOSE( CONTROL!$C$12, $D$11, 100%, $F$11)</f>
        <v>51.684399999999997</v>
      </c>
      <c r="F1025" s="4">
        <f>52.6994 * CHOOSE(CONTROL!$C$12, $D$11, 100%, $F$11)</f>
        <v>52.699399999999997</v>
      </c>
      <c r="G1025" s="8">
        <f>50.4003 * CHOOSE( CONTROL!$C$12, $D$11, 100%, $F$11)</f>
        <v>50.400300000000001</v>
      </c>
      <c r="H1025" s="4">
        <f>51.2936 * CHOOSE(CONTROL!$C$12, $D$11, 100%, $F$11)</f>
        <v>51.293599999999998</v>
      </c>
      <c r="I1025" s="8">
        <f>49.645 * CHOOSE(CONTROL!$C$12, $D$11, 100%, $F$11)</f>
        <v>49.645000000000003</v>
      </c>
      <c r="J1025" s="4">
        <f>49.5117 * CHOOSE(CONTROL!$C$12, $D$11, 100%, $F$11)</f>
        <v>49.511699999999998</v>
      </c>
      <c r="K1025" s="4"/>
      <c r="L1025" s="9">
        <v>27.3993</v>
      </c>
      <c r="M1025" s="9">
        <v>12.063700000000001</v>
      </c>
      <c r="N1025" s="9">
        <v>4.9444999999999997</v>
      </c>
      <c r="O1025" s="9">
        <v>0.37459999999999999</v>
      </c>
      <c r="P1025" s="9">
        <v>1.2939000000000001</v>
      </c>
      <c r="Q1025" s="9">
        <v>19.688099999999999</v>
      </c>
      <c r="R1025" s="9"/>
      <c r="S1025" s="11"/>
    </row>
    <row r="1026" spans="1:19" ht="15.75">
      <c r="A1026" s="13">
        <v>73109</v>
      </c>
      <c r="B1026" s="8">
        <f>48.336 * CHOOSE(CONTROL!$C$12, $D$11, 100%, $F$11)</f>
        <v>48.335999999999999</v>
      </c>
      <c r="C1026" s="8">
        <f>48.3465 * CHOOSE(CONTROL!$C$12, $D$11, 100%, $F$11)</f>
        <v>48.346499999999999</v>
      </c>
      <c r="D1026" s="8">
        <f>48.3464 * CHOOSE( CONTROL!$C$12, $D$11, 100%, $F$11)</f>
        <v>48.346400000000003</v>
      </c>
      <c r="E1026" s="12">
        <f>48.3453 * CHOOSE( CONTROL!$C$12, $D$11, 100%, $F$11)</f>
        <v>48.345300000000002</v>
      </c>
      <c r="F1026" s="4">
        <f>49.3511 * CHOOSE(CONTROL!$C$12, $D$11, 100%, $F$11)</f>
        <v>49.351100000000002</v>
      </c>
      <c r="G1026" s="8">
        <f>47.1439 * CHOOSE( CONTROL!$C$12, $D$11, 100%, $F$11)</f>
        <v>47.143900000000002</v>
      </c>
      <c r="H1026" s="4">
        <f>48.0298 * CHOOSE(CONTROL!$C$12, $D$11, 100%, $F$11)</f>
        <v>48.029800000000002</v>
      </c>
      <c r="I1026" s="8">
        <f>46.4317 * CHOOSE(CONTROL!$C$12, $D$11, 100%, $F$11)</f>
        <v>46.431699999999999</v>
      </c>
      <c r="J1026" s="4">
        <f>46.3108 * CHOOSE(CONTROL!$C$12, $D$11, 100%, $F$11)</f>
        <v>46.3108</v>
      </c>
      <c r="K1026" s="4"/>
      <c r="L1026" s="9">
        <v>24.747800000000002</v>
      </c>
      <c r="M1026" s="9">
        <v>10.8962</v>
      </c>
      <c r="N1026" s="9">
        <v>4.4660000000000002</v>
      </c>
      <c r="O1026" s="9">
        <v>0.33829999999999999</v>
      </c>
      <c r="P1026" s="9">
        <v>1.1687000000000001</v>
      </c>
      <c r="Q1026" s="9">
        <v>17.782800000000002</v>
      </c>
      <c r="R1026" s="9"/>
      <c r="S1026" s="11"/>
    </row>
    <row r="1027" spans="1:19" ht="15.75">
      <c r="A1027" s="13">
        <v>73140</v>
      </c>
      <c r="B1027" s="8">
        <f>47.3072 * CHOOSE(CONTROL!$C$12, $D$11, 100%, $F$11)</f>
        <v>47.307200000000002</v>
      </c>
      <c r="C1027" s="8">
        <f>47.3176 * CHOOSE(CONTROL!$C$12, $D$11, 100%, $F$11)</f>
        <v>47.317599999999999</v>
      </c>
      <c r="D1027" s="8">
        <f>47.2975 * CHOOSE( CONTROL!$C$12, $D$11, 100%, $F$11)</f>
        <v>47.297499999999999</v>
      </c>
      <c r="E1027" s="12">
        <f>47.3037 * CHOOSE( CONTROL!$C$12, $D$11, 100%, $F$11)</f>
        <v>47.303699999999999</v>
      </c>
      <c r="F1027" s="4">
        <f>48.3061 * CHOOSE(CONTROL!$C$12, $D$11, 100%, $F$11)</f>
        <v>48.306100000000001</v>
      </c>
      <c r="G1027" s="8">
        <f>46.1205 * CHOOSE( CONTROL!$C$12, $D$11, 100%, $F$11)</f>
        <v>46.1205</v>
      </c>
      <c r="H1027" s="4">
        <f>47.0111 * CHOOSE(CONTROL!$C$12, $D$11, 100%, $F$11)</f>
        <v>47.011099999999999</v>
      </c>
      <c r="I1027" s="8">
        <f>45.4058 * CHOOSE(CONTROL!$C$12, $D$11, 100%, $F$11)</f>
        <v>45.405799999999999</v>
      </c>
      <c r="J1027" s="4">
        <f>45.325 * CHOOSE(CONTROL!$C$12, $D$11, 100%, $F$11)</f>
        <v>45.325000000000003</v>
      </c>
      <c r="K1027" s="4"/>
      <c r="L1027" s="9">
        <v>27.3993</v>
      </c>
      <c r="M1027" s="9">
        <v>12.063700000000001</v>
      </c>
      <c r="N1027" s="9">
        <v>4.9444999999999997</v>
      </c>
      <c r="O1027" s="9">
        <v>0.37459999999999999</v>
      </c>
      <c r="P1027" s="9">
        <v>1.2939000000000001</v>
      </c>
      <c r="Q1027" s="9">
        <v>19.688099999999999</v>
      </c>
      <c r="R1027" s="9"/>
      <c r="S1027" s="11"/>
    </row>
    <row r="1028" spans="1:19" ht="15.75">
      <c r="A1028" s="13">
        <v>73170</v>
      </c>
      <c r="B1028" s="8">
        <f>48.0261 * CHOOSE(CONTROL!$C$12, $D$11, 100%, $F$11)</f>
        <v>48.0261</v>
      </c>
      <c r="C1028" s="8">
        <f>48.0366 * CHOOSE(CONTROL!$C$12, $D$11, 100%, $F$11)</f>
        <v>48.0366</v>
      </c>
      <c r="D1028" s="8">
        <f>48.0398 * CHOOSE( CONTROL!$C$12, $D$11, 100%, $F$11)</f>
        <v>48.0398</v>
      </c>
      <c r="E1028" s="12">
        <f>48.0375 * CHOOSE( CONTROL!$C$12, $D$11, 100%, $F$11)</f>
        <v>48.037500000000001</v>
      </c>
      <c r="F1028" s="4">
        <f>49.0334 * CHOOSE(CONTROL!$C$12, $D$11, 100%, $F$11)</f>
        <v>49.0334</v>
      </c>
      <c r="G1028" s="8">
        <f>46.8092 * CHOOSE( CONTROL!$C$12, $D$11, 100%, $F$11)</f>
        <v>46.809199999999997</v>
      </c>
      <c r="H1028" s="4">
        <f>47.7201 * CHOOSE(CONTROL!$C$12, $D$11, 100%, $F$11)</f>
        <v>47.720100000000002</v>
      </c>
      <c r="I1028" s="8">
        <f>46.0851 * CHOOSE(CONTROL!$C$12, $D$11, 100%, $F$11)</f>
        <v>46.085099999999997</v>
      </c>
      <c r="J1028" s="4">
        <f>46.0139 * CHOOSE(CONTROL!$C$12, $D$11, 100%, $F$11)</f>
        <v>46.0139</v>
      </c>
      <c r="K1028" s="4"/>
      <c r="L1028" s="9">
        <v>27.988800000000001</v>
      </c>
      <c r="M1028" s="9">
        <v>11.6745</v>
      </c>
      <c r="N1028" s="9">
        <v>4.7850000000000001</v>
      </c>
      <c r="O1028" s="9">
        <v>0.36249999999999999</v>
      </c>
      <c r="P1028" s="9">
        <v>1.1798</v>
      </c>
      <c r="Q1028" s="9">
        <v>19.053000000000001</v>
      </c>
      <c r="R1028" s="9"/>
      <c r="S1028" s="11"/>
    </row>
    <row r="1029" spans="1:19" ht="15.75">
      <c r="A1029" s="13">
        <v>73201</v>
      </c>
      <c r="B1029" s="8">
        <f>CHOOSE( CONTROL!$C$29, 49.3099, 49.3057) * CHOOSE(CONTROL!$C$12, $D$11, 100%, $F$11)</f>
        <v>49.309899999999999</v>
      </c>
      <c r="C1029" s="8">
        <f>CHOOSE( CONTROL!$C$29, 49.3204, 49.3161) * CHOOSE(CONTROL!$C$12, $D$11, 100%, $F$11)</f>
        <v>49.320399999999999</v>
      </c>
      <c r="D1029" s="8">
        <f>CHOOSE( CONTROL!$C$29, 49.2983, 49.294) * CHOOSE( CONTROL!$C$12, $D$11, 100%, $F$11)</f>
        <v>49.298299999999998</v>
      </c>
      <c r="E1029" s="12">
        <f>CHOOSE( CONTROL!$C$29, 49.3047, 49.3004) * CHOOSE( CONTROL!$C$12, $D$11, 100%, $F$11)</f>
        <v>49.304699999999997</v>
      </c>
      <c r="F1029" s="4">
        <f>CHOOSE( CONTROL!$C$29, 50.2848, 50.2806) * CHOOSE(CONTROL!$C$12, $D$11, 100%, $F$11)</f>
        <v>50.284799999999997</v>
      </c>
      <c r="G1029" s="8">
        <f>CHOOSE( CONTROL!$C$29, 48.0418, 48.0377) * CHOOSE( CONTROL!$C$12, $D$11, 100%, $F$11)</f>
        <v>48.041800000000002</v>
      </c>
      <c r="H1029" s="4">
        <f>CHOOSE( CONTROL!$C$29, 48.9399, 48.9358) * CHOOSE(CONTROL!$C$12, $D$11, 100%, $F$11)</f>
        <v>48.939900000000002</v>
      </c>
      <c r="I1029" s="8">
        <f>CHOOSE( CONTROL!$C$29, 47.2943, 47.2903) * CHOOSE(CONTROL!$C$12, $D$11, 100%, $F$11)</f>
        <v>47.2943</v>
      </c>
      <c r="J1029" s="4">
        <f>CHOOSE( CONTROL!$C$29, 47.244, 47.2399) * CHOOSE(CONTROL!$C$12, $D$11, 100%, $F$11)</f>
        <v>47.244</v>
      </c>
      <c r="K1029" s="4"/>
      <c r="L1029" s="9">
        <v>29.520499999999998</v>
      </c>
      <c r="M1029" s="9">
        <v>12.063700000000001</v>
      </c>
      <c r="N1029" s="9">
        <v>4.9444999999999997</v>
      </c>
      <c r="O1029" s="9">
        <v>0.37459999999999999</v>
      </c>
      <c r="P1029" s="9">
        <v>1.2192000000000001</v>
      </c>
      <c r="Q1029" s="9">
        <v>19.688099999999999</v>
      </c>
      <c r="R1029" s="9"/>
      <c r="S1029" s="11"/>
    </row>
    <row r="1030" spans="1:19" ht="15.75">
      <c r="A1030" s="13">
        <v>73231</v>
      </c>
      <c r="B1030" s="8">
        <f>CHOOSE( CONTROL!$C$29, 48.5173, 48.513) * CHOOSE(CONTROL!$C$12, $D$11, 100%, $F$11)</f>
        <v>48.517299999999999</v>
      </c>
      <c r="C1030" s="8">
        <f>CHOOSE( CONTROL!$C$29, 48.5277, 48.5235) * CHOOSE(CONTROL!$C$12, $D$11, 100%, $F$11)</f>
        <v>48.527700000000003</v>
      </c>
      <c r="D1030" s="8">
        <f>CHOOSE( CONTROL!$C$29, 48.5, 48.4958) * CHOOSE( CONTROL!$C$12, $D$11, 100%, $F$11)</f>
        <v>48.5</v>
      </c>
      <c r="E1030" s="12">
        <f>CHOOSE( CONTROL!$C$29, 48.5085, 48.5042) * CHOOSE( CONTROL!$C$12, $D$11, 100%, $F$11)</f>
        <v>48.508499999999998</v>
      </c>
      <c r="F1030" s="4">
        <f>CHOOSE( CONTROL!$C$29, 49.4817, 49.4775) * CHOOSE(CONTROL!$C$12, $D$11, 100%, $F$11)</f>
        <v>49.481699999999996</v>
      </c>
      <c r="G1030" s="8">
        <f>CHOOSE( CONTROL!$C$29, 47.2679, 47.2638) * CHOOSE( CONTROL!$C$12, $D$11, 100%, $F$11)</f>
        <v>47.267899999999997</v>
      </c>
      <c r="H1030" s="4">
        <f>CHOOSE( CONTROL!$C$29, 48.1571, 48.153) * CHOOSE(CONTROL!$C$12, $D$11, 100%, $F$11)</f>
        <v>48.1571</v>
      </c>
      <c r="I1030" s="8">
        <f>CHOOSE( CONTROL!$C$29, 46.5366, 46.5325) * CHOOSE(CONTROL!$C$12, $D$11, 100%, $F$11)</f>
        <v>46.5366</v>
      </c>
      <c r="J1030" s="4">
        <f>CHOOSE( CONTROL!$C$29, 46.4845, 46.4804) * CHOOSE(CONTROL!$C$12, $D$11, 100%, $F$11)</f>
        <v>46.484499999999997</v>
      </c>
      <c r="K1030" s="4"/>
      <c r="L1030" s="9">
        <v>28.568200000000001</v>
      </c>
      <c r="M1030" s="9">
        <v>11.6745</v>
      </c>
      <c r="N1030" s="9">
        <v>4.7850000000000001</v>
      </c>
      <c r="O1030" s="9">
        <v>0.36249999999999999</v>
      </c>
      <c r="P1030" s="9">
        <v>1.1798</v>
      </c>
      <c r="Q1030" s="9">
        <v>19.053000000000001</v>
      </c>
      <c r="R1030" s="9"/>
      <c r="S1030" s="11"/>
    </row>
    <row r="1031" spans="1:19" ht="15.75">
      <c r="A1031" s="13">
        <v>73262</v>
      </c>
      <c r="B1031" s="8">
        <f>CHOOSE( CONTROL!$C$29, 50.6046, 50.6004) * CHOOSE(CONTROL!$C$12, $D$11, 100%, $F$11)</f>
        <v>50.604599999999998</v>
      </c>
      <c r="C1031" s="8">
        <f>CHOOSE( CONTROL!$C$29, 50.615, 50.6108) * CHOOSE(CONTROL!$C$12, $D$11, 100%, $F$11)</f>
        <v>50.615000000000002</v>
      </c>
      <c r="D1031" s="8">
        <f>CHOOSE( CONTROL!$C$29, 50.6212, 50.6169) * CHOOSE( CONTROL!$C$12, $D$11, 100%, $F$11)</f>
        <v>50.621200000000002</v>
      </c>
      <c r="E1031" s="12">
        <f>CHOOSE( CONTROL!$C$29, 50.6174, 50.6131) * CHOOSE( CONTROL!$C$12, $D$11, 100%, $F$11)</f>
        <v>50.617400000000004</v>
      </c>
      <c r="F1031" s="4">
        <f>CHOOSE( CONTROL!$C$29, 51.6145, 51.6102) * CHOOSE(CONTROL!$C$12, $D$11, 100%, $F$11)</f>
        <v>51.6145</v>
      </c>
      <c r="G1031" s="8">
        <f>CHOOSE( CONTROL!$C$29, 49.3286, 49.3245) * CHOOSE( CONTROL!$C$12, $D$11, 100%, $F$11)</f>
        <v>49.328600000000002</v>
      </c>
      <c r="H1031" s="4">
        <f>CHOOSE( CONTROL!$C$29, 50.236, 50.2319) * CHOOSE(CONTROL!$C$12, $D$11, 100%, $F$11)</f>
        <v>50.235999999999997</v>
      </c>
      <c r="I1031" s="8">
        <f>CHOOSE( CONTROL!$C$29, 48.593, 48.5889) * CHOOSE(CONTROL!$C$12, $D$11, 100%, $F$11)</f>
        <v>48.593000000000004</v>
      </c>
      <c r="J1031" s="4">
        <f>CHOOSE( CONTROL!$C$29, 48.4846, 48.4805) * CHOOSE(CONTROL!$C$12, $D$11, 100%, $F$11)</f>
        <v>48.4846</v>
      </c>
      <c r="K1031" s="4"/>
      <c r="L1031" s="9">
        <v>29.520499999999998</v>
      </c>
      <c r="M1031" s="9">
        <v>12.063700000000001</v>
      </c>
      <c r="N1031" s="9">
        <v>4.9444999999999997</v>
      </c>
      <c r="O1031" s="9">
        <v>0.37459999999999999</v>
      </c>
      <c r="P1031" s="9">
        <v>1.2192000000000001</v>
      </c>
      <c r="Q1031" s="9">
        <v>19.688099999999999</v>
      </c>
      <c r="R1031" s="9"/>
      <c r="S1031" s="11"/>
    </row>
    <row r="1032" spans="1:19" ht="15.75">
      <c r="A1032" s="13">
        <v>73293</v>
      </c>
      <c r="B1032" s="8">
        <f>CHOOSE( CONTROL!$C$29, 46.699, 46.6948) * CHOOSE(CONTROL!$C$12, $D$11, 100%, $F$11)</f>
        <v>46.698999999999998</v>
      </c>
      <c r="C1032" s="8">
        <f>CHOOSE( CONTROL!$C$29, 46.7094, 46.7052) * CHOOSE(CONTROL!$C$12, $D$11, 100%, $F$11)</f>
        <v>46.709400000000002</v>
      </c>
      <c r="D1032" s="8">
        <f>CHOOSE( CONTROL!$C$29, 46.732, 46.7278) * CHOOSE( CONTROL!$C$12, $D$11, 100%, $F$11)</f>
        <v>46.731999999999999</v>
      </c>
      <c r="E1032" s="12">
        <f>CHOOSE( CONTROL!$C$29, 46.7222, 46.718) * CHOOSE( CONTROL!$C$12, $D$11, 100%, $F$11)</f>
        <v>46.722200000000001</v>
      </c>
      <c r="F1032" s="4">
        <f>CHOOSE( CONTROL!$C$29, 47.7376, 47.7333) * CHOOSE(CONTROL!$C$12, $D$11, 100%, $F$11)</f>
        <v>47.7376</v>
      </c>
      <c r="G1032" s="8">
        <f>CHOOSE( CONTROL!$C$29, 45.5272, 45.5231) * CHOOSE( CONTROL!$C$12, $D$11, 100%, $F$11)</f>
        <v>45.527200000000001</v>
      </c>
      <c r="H1032" s="4">
        <f>CHOOSE( CONTROL!$C$29, 46.457, 46.4528) * CHOOSE(CONTROL!$C$12, $D$11, 100%, $F$11)</f>
        <v>46.457000000000001</v>
      </c>
      <c r="I1032" s="8">
        <f>CHOOSE( CONTROL!$C$29, 44.8402, 44.8362) * CHOOSE(CONTROL!$C$12, $D$11, 100%, $F$11)</f>
        <v>44.840200000000003</v>
      </c>
      <c r="J1032" s="4">
        <f>CHOOSE( CONTROL!$C$29, 44.7422, 44.7382) * CHOOSE(CONTROL!$C$12, $D$11, 100%, $F$11)</f>
        <v>44.742199999999997</v>
      </c>
      <c r="K1032" s="4"/>
      <c r="L1032" s="9">
        <v>29.520499999999998</v>
      </c>
      <c r="M1032" s="9">
        <v>12.063700000000001</v>
      </c>
      <c r="N1032" s="9">
        <v>4.9444999999999997</v>
      </c>
      <c r="O1032" s="9">
        <v>0.37459999999999999</v>
      </c>
      <c r="P1032" s="9">
        <v>1.2192000000000001</v>
      </c>
      <c r="Q1032" s="9">
        <v>19.688099999999999</v>
      </c>
      <c r="R1032" s="9"/>
      <c r="S1032" s="11"/>
    </row>
    <row r="1033" spans="1:19" ht="15.75">
      <c r="A1033" s="13">
        <v>73323</v>
      </c>
      <c r="B1033" s="8">
        <f>CHOOSE( CONTROL!$C$29, 45.721, 45.7168) * CHOOSE(CONTROL!$C$12, $D$11, 100%, $F$11)</f>
        <v>45.720999999999997</v>
      </c>
      <c r="C1033" s="8">
        <f>CHOOSE( CONTROL!$C$29, 45.7314, 45.7272) * CHOOSE(CONTROL!$C$12, $D$11, 100%, $F$11)</f>
        <v>45.731400000000001</v>
      </c>
      <c r="D1033" s="8">
        <f>CHOOSE( CONTROL!$C$29, 45.754, 45.7498) * CHOOSE( CONTROL!$C$12, $D$11, 100%, $F$11)</f>
        <v>45.753999999999998</v>
      </c>
      <c r="E1033" s="12">
        <f>CHOOSE( CONTROL!$C$29, 45.7442, 45.74) * CHOOSE( CONTROL!$C$12, $D$11, 100%, $F$11)</f>
        <v>45.744199999999999</v>
      </c>
      <c r="F1033" s="4">
        <f>CHOOSE( CONTROL!$C$29, 46.7596, 46.7553) * CHOOSE(CONTROL!$C$12, $D$11, 100%, $F$11)</f>
        <v>46.759599999999999</v>
      </c>
      <c r="G1033" s="8">
        <f>CHOOSE( CONTROL!$C$29, 44.5735, 44.5694) * CHOOSE( CONTROL!$C$12, $D$11, 100%, $F$11)</f>
        <v>44.573500000000003</v>
      </c>
      <c r="H1033" s="4">
        <f>CHOOSE( CONTROL!$C$29, 45.5036, 45.4995) * CHOOSE(CONTROL!$C$12, $D$11, 100%, $F$11)</f>
        <v>45.503599999999999</v>
      </c>
      <c r="I1033" s="8">
        <f>CHOOSE( CONTROL!$C$29, 43.9009, 43.8969) * CHOOSE(CONTROL!$C$12, $D$11, 100%, $F$11)</f>
        <v>43.9009</v>
      </c>
      <c r="J1033" s="4">
        <f>CHOOSE( CONTROL!$C$29, 43.8051, 43.801) * CHOOSE(CONTROL!$C$12, $D$11, 100%, $F$11)</f>
        <v>43.805100000000003</v>
      </c>
      <c r="K1033" s="4"/>
      <c r="L1033" s="9">
        <v>28.568200000000001</v>
      </c>
      <c r="M1033" s="9">
        <v>11.6745</v>
      </c>
      <c r="N1033" s="9">
        <v>4.7850000000000001</v>
      </c>
      <c r="O1033" s="9">
        <v>0.36249999999999999</v>
      </c>
      <c r="P1033" s="9">
        <v>1.1798</v>
      </c>
      <c r="Q1033" s="9">
        <v>19.053000000000001</v>
      </c>
      <c r="R1033" s="9"/>
      <c r="S1033" s="11"/>
    </row>
    <row r="1034" spans="1:19" ht="15.75">
      <c r="A1034" s="13">
        <v>73354</v>
      </c>
      <c r="B1034" s="8">
        <f>47.7474 * CHOOSE(CONTROL!$C$12, $D$11, 100%, $F$11)</f>
        <v>47.747399999999999</v>
      </c>
      <c r="C1034" s="8">
        <f>47.7579 * CHOOSE(CONTROL!$C$12, $D$11, 100%, $F$11)</f>
        <v>47.757899999999999</v>
      </c>
      <c r="D1034" s="8">
        <f>47.7623 * CHOOSE( CONTROL!$C$12, $D$11, 100%, $F$11)</f>
        <v>47.762300000000003</v>
      </c>
      <c r="E1034" s="12">
        <f>47.7597 * CHOOSE( CONTROL!$C$12, $D$11, 100%, $F$11)</f>
        <v>47.759700000000002</v>
      </c>
      <c r="F1034" s="4">
        <f>48.7547 * CHOOSE(CONTROL!$C$12, $D$11, 100%, $F$11)</f>
        <v>48.7547</v>
      </c>
      <c r="G1034" s="8">
        <f>46.5391 * CHOOSE( CONTROL!$C$12, $D$11, 100%, $F$11)</f>
        <v>46.539099999999998</v>
      </c>
      <c r="H1034" s="4">
        <f>47.4484 * CHOOSE(CONTROL!$C$12, $D$11, 100%, $F$11)</f>
        <v>47.448399999999999</v>
      </c>
      <c r="I1034" s="8">
        <f>45.8403 * CHOOSE(CONTROL!$C$12, $D$11, 100%, $F$11)</f>
        <v>45.840299999999999</v>
      </c>
      <c r="J1034" s="4">
        <f>45.7468 * CHOOSE(CONTROL!$C$12, $D$11, 100%, $F$11)</f>
        <v>45.7468</v>
      </c>
      <c r="K1034" s="4"/>
      <c r="L1034" s="9">
        <v>28.921800000000001</v>
      </c>
      <c r="M1034" s="9">
        <v>12.063700000000001</v>
      </c>
      <c r="N1034" s="9">
        <v>4.9444999999999997</v>
      </c>
      <c r="O1034" s="9">
        <v>0.37459999999999999</v>
      </c>
      <c r="P1034" s="9">
        <v>1.2192000000000001</v>
      </c>
      <c r="Q1034" s="9">
        <v>19.688099999999999</v>
      </c>
      <c r="R1034" s="9"/>
      <c r="S1034" s="11"/>
    </row>
    <row r="1035" spans="1:19" ht="15.75">
      <c r="A1035" s="13">
        <v>73384</v>
      </c>
      <c r="B1035" s="8">
        <f>51.4957 * CHOOSE(CONTROL!$C$12, $D$11, 100%, $F$11)</f>
        <v>51.495699999999999</v>
      </c>
      <c r="C1035" s="8">
        <f>51.5061 * CHOOSE(CONTROL!$C$12, $D$11, 100%, $F$11)</f>
        <v>51.506100000000004</v>
      </c>
      <c r="D1035" s="8">
        <f>51.4885 * CHOOSE( CONTROL!$C$12, $D$11, 100%, $F$11)</f>
        <v>51.488500000000002</v>
      </c>
      <c r="E1035" s="12">
        <f>51.4938 * CHOOSE( CONTROL!$C$12, $D$11, 100%, $F$11)</f>
        <v>51.4938</v>
      </c>
      <c r="F1035" s="4">
        <f>52.4899 * CHOOSE(CONTROL!$C$12, $D$11, 100%, $F$11)</f>
        <v>52.489899999999999</v>
      </c>
      <c r="G1035" s="8">
        <f>50.2053 * CHOOSE( CONTROL!$C$12, $D$11, 100%, $F$11)</f>
        <v>50.205300000000001</v>
      </c>
      <c r="H1035" s="4">
        <f>51.0894 * CHOOSE(CONTROL!$C$12, $D$11, 100%, $F$11)</f>
        <v>51.089399999999998</v>
      </c>
      <c r="I1035" s="8">
        <f>49.4571 * CHOOSE(CONTROL!$C$12, $D$11, 100%, $F$11)</f>
        <v>49.457099999999997</v>
      </c>
      <c r="J1035" s="4">
        <f>49.3384 * CHOOSE(CONTROL!$C$12, $D$11, 100%, $F$11)</f>
        <v>49.3384</v>
      </c>
      <c r="K1035" s="4"/>
      <c r="L1035" s="9">
        <v>26.515499999999999</v>
      </c>
      <c r="M1035" s="9">
        <v>11.6745</v>
      </c>
      <c r="N1035" s="9">
        <v>4.7850000000000001</v>
      </c>
      <c r="O1035" s="9">
        <v>0.36249999999999999</v>
      </c>
      <c r="P1035" s="9">
        <v>1.2522</v>
      </c>
      <c r="Q1035" s="9">
        <v>19.053000000000001</v>
      </c>
      <c r="R1035" s="9"/>
      <c r="S1035" s="11"/>
    </row>
    <row r="1036" spans="1:19" ht="15.75">
      <c r="A1036" s="13">
        <v>73415</v>
      </c>
      <c r="B1036" s="8">
        <f>51.402 * CHOOSE(CONTROL!$C$12, $D$11, 100%, $F$11)</f>
        <v>51.402000000000001</v>
      </c>
      <c r="C1036" s="8">
        <f>51.4124 * CHOOSE(CONTROL!$C$12, $D$11, 100%, $F$11)</f>
        <v>51.412399999999998</v>
      </c>
      <c r="D1036" s="8">
        <f>51.3968 * CHOOSE( CONTROL!$C$12, $D$11, 100%, $F$11)</f>
        <v>51.396799999999999</v>
      </c>
      <c r="E1036" s="12">
        <f>51.4014 * CHOOSE( CONTROL!$C$12, $D$11, 100%, $F$11)</f>
        <v>51.401400000000002</v>
      </c>
      <c r="F1036" s="4">
        <f>52.3962 * CHOOSE(CONTROL!$C$12, $D$11, 100%, $F$11)</f>
        <v>52.3962</v>
      </c>
      <c r="G1036" s="8">
        <f>50.1155 * CHOOSE( CONTROL!$C$12, $D$11, 100%, $F$11)</f>
        <v>50.115499999999997</v>
      </c>
      <c r="H1036" s="4">
        <f>50.9981 * CHOOSE(CONTROL!$C$12, $D$11, 100%, $F$11)</f>
        <v>50.998100000000001</v>
      </c>
      <c r="I1036" s="8">
        <f>49.3745 * CHOOSE(CONTROL!$C$12, $D$11, 100%, $F$11)</f>
        <v>49.374499999999998</v>
      </c>
      <c r="J1036" s="4">
        <f>49.2486 * CHOOSE(CONTROL!$C$12, $D$11, 100%, $F$11)</f>
        <v>49.248600000000003</v>
      </c>
      <c r="K1036" s="4"/>
      <c r="L1036" s="9">
        <v>27.3993</v>
      </c>
      <c r="M1036" s="9">
        <v>12.063700000000001</v>
      </c>
      <c r="N1036" s="9">
        <v>4.9444999999999997</v>
      </c>
      <c r="O1036" s="9">
        <v>0.37459999999999999</v>
      </c>
      <c r="P1036" s="9">
        <v>1.2939000000000001</v>
      </c>
      <c r="Q1036" s="9">
        <v>19.688099999999999</v>
      </c>
      <c r="R1036" s="9"/>
      <c r="S1036" s="11"/>
    </row>
    <row r="1037" spans="1:19">
      <c r="A1037" s="10"/>
      <c r="F1037" s="1"/>
      <c r="H1037" s="1"/>
      <c r="Q1037" s="9"/>
    </row>
    <row r="1038" spans="1:19" ht="15" customHeight="1">
      <c r="A1038" s="3">
        <v>2016</v>
      </c>
      <c r="B1038" s="8">
        <f t="shared" ref="B1038:H1038" si="1">AVERAGE(B17:B28)</f>
        <v>2.5753499999999998</v>
      </c>
      <c r="C1038" s="8">
        <f t="shared" si="1"/>
        <v>2.5857916666666667</v>
      </c>
      <c r="D1038" s="8">
        <f t="shared" si="1"/>
        <v>2.5759000000000003</v>
      </c>
      <c r="E1038" s="8">
        <f t="shared" si="1"/>
        <v>2.5780499999999997</v>
      </c>
      <c r="F1038" s="4">
        <f t="shared" si="1"/>
        <v>3.5808500000000003</v>
      </c>
      <c r="G1038" s="8">
        <f t="shared" si="1"/>
        <v>2.5135166666666673</v>
      </c>
      <c r="H1038" s="4">
        <f t="shared" si="1"/>
        <v>3.4142749999999995</v>
      </c>
      <c r="I1038" s="8"/>
      <c r="J1038" s="4">
        <f>AVERAGE(J17:J28)</f>
        <v>2.4629583333333334</v>
      </c>
      <c r="K1038" s="5"/>
      <c r="L1038" s="5">
        <f>SUM(L17:L28)</f>
        <v>376.69149999999996</v>
      </c>
      <c r="M1038" s="5">
        <f>SUM(M17:M28)</f>
        <v>142.42920000000001</v>
      </c>
      <c r="N1038" s="5">
        <f>SUM(N17:N28)</f>
        <v>58.377000000000002</v>
      </c>
      <c r="O1038" s="5">
        <f>SUM(O17:O28)</f>
        <v>5.3671999999999995</v>
      </c>
      <c r="P1038" s="5">
        <f>SUM(P17:P28)</f>
        <v>16.520199999999999</v>
      </c>
      <c r="Q1038" s="5"/>
      <c r="R1038" s="5">
        <f>SUM(R17:R28)</f>
        <v>4.8</v>
      </c>
      <c r="S1038" s="5"/>
    </row>
    <row r="1039" spans="1:19" ht="15" customHeight="1">
      <c r="A1039" s="3">
        <v>2017</v>
      </c>
      <c r="B1039" s="8">
        <f t="shared" ref="B1039:J1039" si="2">AVERAGE(B29:B40)</f>
        <v>3.2983083333333334</v>
      </c>
      <c r="C1039" s="8">
        <f t="shared" si="2"/>
        <v>3.3087583333333335</v>
      </c>
      <c r="D1039" s="8">
        <f t="shared" si="2"/>
        <v>3.2967833333333325</v>
      </c>
      <c r="E1039" s="8">
        <f t="shared" si="2"/>
        <v>3.2997583333333331</v>
      </c>
      <c r="F1039" s="4">
        <f t="shared" si="2"/>
        <v>4.3038333333333343</v>
      </c>
      <c r="G1039" s="8">
        <f t="shared" si="2"/>
        <v>3.2180666666666671</v>
      </c>
      <c r="H1039" s="4">
        <f t="shared" si="2"/>
        <v>4.1190083333333334</v>
      </c>
      <c r="I1039" s="8">
        <f t="shared" si="2"/>
        <v>3.1794875000000005</v>
      </c>
      <c r="J1039" s="4">
        <f t="shared" si="2"/>
        <v>3.1557083333333331</v>
      </c>
      <c r="K1039" s="4"/>
      <c r="L1039" s="5">
        <f t="shared" ref="L1039:Q1039" si="3">SUM(L29:L40)</f>
        <v>353.74759999999998</v>
      </c>
      <c r="M1039" s="5">
        <f t="shared" si="3"/>
        <v>142.0401</v>
      </c>
      <c r="N1039" s="5">
        <f t="shared" si="3"/>
        <v>58.217499999999994</v>
      </c>
      <c r="O1039" s="5">
        <f t="shared" si="3"/>
        <v>4.4104999999999999</v>
      </c>
      <c r="P1039" s="5">
        <f t="shared" si="3"/>
        <v>20.8202</v>
      </c>
      <c r="Q1039" s="5">
        <f t="shared" si="3"/>
        <v>198.18529999999998</v>
      </c>
      <c r="R1039" s="5"/>
      <c r="S1039" s="4"/>
    </row>
    <row r="1040" spans="1:19" ht="15" customHeight="1">
      <c r="A1040" s="3">
        <v>2018</v>
      </c>
      <c r="B1040" s="8">
        <f t="shared" ref="B1040:J1040" si="4">AVERAGE(B41:B52)</f>
        <v>3.1605749999999997</v>
      </c>
      <c r="C1040" s="8">
        <f t="shared" si="4"/>
        <v>3.1709916666666662</v>
      </c>
      <c r="D1040" s="8">
        <f t="shared" si="4"/>
        <v>3.1671166666666668</v>
      </c>
      <c r="E1040" s="8">
        <f t="shared" si="4"/>
        <v>3.1672333333333333</v>
      </c>
      <c r="F1040" s="4">
        <f t="shared" si="4"/>
        <v>4.1660666666666666</v>
      </c>
      <c r="G1040" s="8">
        <f t="shared" si="4"/>
        <v>3.0837916666666665</v>
      </c>
      <c r="H1040" s="4">
        <f t="shared" si="4"/>
        <v>3.9847333333333341</v>
      </c>
      <c r="I1040" s="8">
        <f t="shared" si="4"/>
        <v>3.097516666666666</v>
      </c>
      <c r="J1040" s="4">
        <f t="shared" si="4"/>
        <v>3.0237083333333334</v>
      </c>
      <c r="K1040" s="4"/>
      <c r="L1040" s="5">
        <f t="shared" ref="L1040:Q1040" si="5">SUM(L41:L52)</f>
        <v>353.74759999999998</v>
      </c>
      <c r="M1040" s="5">
        <f t="shared" si="5"/>
        <v>142.0401</v>
      </c>
      <c r="N1040" s="5">
        <f t="shared" si="5"/>
        <v>58.217499999999994</v>
      </c>
      <c r="O1040" s="5">
        <f t="shared" si="5"/>
        <v>4.4104999999999999</v>
      </c>
      <c r="P1040" s="5">
        <f t="shared" si="5"/>
        <v>14.718800000000003</v>
      </c>
      <c r="Q1040" s="5">
        <f t="shared" si="5"/>
        <v>293.19730000000004</v>
      </c>
      <c r="R1040" s="5"/>
      <c r="S1040" s="4"/>
    </row>
    <row r="1041" spans="1:19" ht="15" customHeight="1">
      <c r="A1041" s="3">
        <v>2019</v>
      </c>
      <c r="B1041" s="8">
        <f t="shared" ref="B1041:J1041" si="6">AVERAGE(B53:B64)</f>
        <v>3.7710249999999998</v>
      </c>
      <c r="C1041" s="8">
        <f t="shared" si="6"/>
        <v>3.7814500000000009</v>
      </c>
      <c r="D1041" s="8">
        <f t="shared" si="6"/>
        <v>3.7775833333333342</v>
      </c>
      <c r="E1041" s="8">
        <f t="shared" si="6"/>
        <v>3.7776916666666671</v>
      </c>
      <c r="F1041" s="4">
        <f t="shared" si="6"/>
        <v>4.7765333333333331</v>
      </c>
      <c r="G1041" s="8">
        <f t="shared" si="6"/>
        <v>3.6788666666666674</v>
      </c>
      <c r="H1041" s="4">
        <f t="shared" si="6"/>
        <v>4.5797833333333324</v>
      </c>
      <c r="I1041" s="8">
        <f t="shared" si="6"/>
        <v>3.6827416666666664</v>
      </c>
      <c r="J1041" s="4">
        <f t="shared" si="6"/>
        <v>3.6086333333333331</v>
      </c>
      <c r="K1041" s="4"/>
      <c r="L1041" s="5">
        <f t="shared" ref="L1041:Q1041" si="7">SUM(L53:L64)</f>
        <v>353.74759999999998</v>
      </c>
      <c r="M1041" s="5">
        <f t="shared" si="7"/>
        <v>142.0401</v>
      </c>
      <c r="N1041" s="5">
        <f t="shared" si="7"/>
        <v>58.217499999999994</v>
      </c>
      <c r="O1041" s="5">
        <f t="shared" si="7"/>
        <v>4.4104999999999999</v>
      </c>
      <c r="P1041" s="5">
        <f t="shared" si="7"/>
        <v>14.718800000000003</v>
      </c>
      <c r="Q1041" s="5">
        <f t="shared" si="7"/>
        <v>290.24799999999999</v>
      </c>
      <c r="R1041" s="5"/>
      <c r="S1041" s="4"/>
    </row>
    <row r="1042" spans="1:19" ht="15" customHeight="1">
      <c r="A1042" s="3">
        <v>2020</v>
      </c>
      <c r="B1042" s="8">
        <f t="shared" ref="B1042:J1042" si="8">AVERAGE(B65:B76)</f>
        <v>3.7536249999999995</v>
      </c>
      <c r="C1042" s="8">
        <f t="shared" si="8"/>
        <v>3.7640583333333328</v>
      </c>
      <c r="D1042" s="8">
        <f t="shared" si="8"/>
        <v>3.7601749999999998</v>
      </c>
      <c r="E1042" s="8">
        <f t="shared" si="8"/>
        <v>3.7603000000000004</v>
      </c>
      <c r="F1042" s="4">
        <f t="shared" si="8"/>
        <v>4.7591333333333345</v>
      </c>
      <c r="G1042" s="8">
        <f t="shared" si="8"/>
        <v>3.6618916666666674</v>
      </c>
      <c r="H1042" s="4">
        <f t="shared" si="8"/>
        <v>4.5628249999999992</v>
      </c>
      <c r="I1042" s="8">
        <f t="shared" si="8"/>
        <v>3.6660749999999998</v>
      </c>
      <c r="J1042" s="4">
        <f t="shared" si="8"/>
        <v>3.5919666666666674</v>
      </c>
      <c r="K1042" s="4"/>
      <c r="L1042" s="5">
        <f t="shared" ref="L1042:Q1042" si="9">SUM(L65:L76)</f>
        <v>354.68099999999998</v>
      </c>
      <c r="M1042" s="5">
        <f t="shared" si="9"/>
        <v>142.42920000000001</v>
      </c>
      <c r="N1042" s="5">
        <f t="shared" si="9"/>
        <v>58.377000000000002</v>
      </c>
      <c r="O1042" s="5">
        <f t="shared" si="9"/>
        <v>4.4226000000000001</v>
      </c>
      <c r="P1042" s="5">
        <f t="shared" si="9"/>
        <v>14.760600000000004</v>
      </c>
      <c r="Q1042" s="5">
        <f t="shared" si="9"/>
        <v>349.04309999999998</v>
      </c>
      <c r="R1042" s="5"/>
      <c r="S1042" s="4"/>
    </row>
    <row r="1043" spans="1:19" ht="15" customHeight="1">
      <c r="A1043" s="3">
        <v>2021</v>
      </c>
      <c r="B1043" s="8">
        <f t="shared" ref="B1043:J1043" si="10">AVERAGE(B77:B88)</f>
        <v>4.2304249999999994</v>
      </c>
      <c r="C1043" s="8">
        <f t="shared" si="10"/>
        <v>4.2408833333333336</v>
      </c>
      <c r="D1043" s="8">
        <f t="shared" si="10"/>
        <v>4.2369916666666665</v>
      </c>
      <c r="E1043" s="8">
        <f t="shared" si="10"/>
        <v>4.2371083333333326</v>
      </c>
      <c r="F1043" s="4">
        <f t="shared" si="10"/>
        <v>5.2359416666666663</v>
      </c>
      <c r="G1043" s="8">
        <f t="shared" si="10"/>
        <v>4.1266833333333324</v>
      </c>
      <c r="H1043" s="4">
        <f t="shared" si="10"/>
        <v>5.0276250000000005</v>
      </c>
      <c r="I1043" s="8">
        <f t="shared" si="10"/>
        <v>4.1231666666666662</v>
      </c>
      <c r="J1043" s="4">
        <f t="shared" si="10"/>
        <v>4.0488333333333335</v>
      </c>
      <c r="K1043" s="4"/>
      <c r="L1043" s="5">
        <f t="shared" ref="L1043:Q1043" si="11">SUM(L77:L88)</f>
        <v>353.74759999999998</v>
      </c>
      <c r="M1043" s="5">
        <f t="shared" si="11"/>
        <v>142.0401</v>
      </c>
      <c r="N1043" s="5">
        <f t="shared" si="11"/>
        <v>58.217499999999994</v>
      </c>
      <c r="O1043" s="5">
        <f t="shared" si="11"/>
        <v>4.4104999999999999</v>
      </c>
      <c r="P1043" s="5">
        <f t="shared" si="11"/>
        <v>14.718800000000003</v>
      </c>
      <c r="Q1043" s="5">
        <f t="shared" si="11"/>
        <v>388.68129999999996</v>
      </c>
      <c r="R1043" s="5"/>
      <c r="S1043" s="4"/>
    </row>
    <row r="1044" spans="1:19" ht="15" customHeight="1">
      <c r="A1044" s="3">
        <v>2022</v>
      </c>
      <c r="B1044" s="8">
        <f t="shared" ref="B1044:J1044" si="12">AVERAGE(B89:B100)</f>
        <v>4.195241666666667</v>
      </c>
      <c r="C1044" s="8">
        <f t="shared" si="12"/>
        <v>4.2056583333333331</v>
      </c>
      <c r="D1044" s="8">
        <f t="shared" si="12"/>
        <v>4.2017916666666677</v>
      </c>
      <c r="E1044" s="8">
        <f t="shared" si="12"/>
        <v>4.2019166666666665</v>
      </c>
      <c r="F1044" s="4">
        <f t="shared" si="12"/>
        <v>5.2007500000000002</v>
      </c>
      <c r="G1044" s="8">
        <f t="shared" si="12"/>
        <v>4.0923666666666669</v>
      </c>
      <c r="H1044" s="4">
        <f t="shared" si="12"/>
        <v>4.9933000000000005</v>
      </c>
      <c r="I1044" s="8">
        <f t="shared" si="12"/>
        <v>4.0894250000000003</v>
      </c>
      <c r="J1044" s="4">
        <f t="shared" si="12"/>
        <v>4.0151083333333339</v>
      </c>
      <c r="K1044" s="4"/>
      <c r="L1044" s="5">
        <f t="shared" ref="L1044:Q1044" si="13">SUM(L89:L100)</f>
        <v>346.2867</v>
      </c>
      <c r="M1044" s="5">
        <f t="shared" si="13"/>
        <v>142.0401</v>
      </c>
      <c r="N1044" s="5">
        <f t="shared" si="13"/>
        <v>58.217499999999994</v>
      </c>
      <c r="O1044" s="5">
        <f t="shared" si="13"/>
        <v>4.4104999999999999</v>
      </c>
      <c r="P1044" s="5">
        <f t="shared" si="13"/>
        <v>14.718800000000003</v>
      </c>
      <c r="Q1044" s="5">
        <f t="shared" si="13"/>
        <v>386.33820000000003</v>
      </c>
      <c r="R1044" s="5"/>
      <c r="S1044" s="4"/>
    </row>
    <row r="1045" spans="1:19" ht="15" customHeight="1">
      <c r="A1045" s="3">
        <v>2023</v>
      </c>
      <c r="B1045" s="8">
        <f t="shared" ref="B1045:J1045" si="14">AVERAGE(B101:B112)</f>
        <v>4.1569416666666674</v>
      </c>
      <c r="C1045" s="8">
        <f t="shared" si="14"/>
        <v>4.1673750000000007</v>
      </c>
      <c r="D1045" s="8">
        <f t="shared" si="14"/>
        <v>4.1635000000000009</v>
      </c>
      <c r="E1045" s="8">
        <f t="shared" si="14"/>
        <v>4.1636083333333334</v>
      </c>
      <c r="F1045" s="4">
        <f t="shared" si="14"/>
        <v>5.162441666666667</v>
      </c>
      <c r="G1045" s="8">
        <f t="shared" si="14"/>
        <v>4.055041666666666</v>
      </c>
      <c r="H1045" s="4">
        <f t="shared" si="14"/>
        <v>4.9559833333333332</v>
      </c>
      <c r="I1045" s="8">
        <f t="shared" si="14"/>
        <v>4.0527000000000006</v>
      </c>
      <c r="J1045" s="4">
        <f t="shared" si="14"/>
        <v>3.9784166666666674</v>
      </c>
      <c r="K1045" s="4"/>
      <c r="L1045" s="5">
        <f t="shared" ref="L1045:Q1045" si="15">SUM(L101:L112)</f>
        <v>336.06969999999995</v>
      </c>
      <c r="M1045" s="5">
        <f t="shared" si="15"/>
        <v>142.0401</v>
      </c>
      <c r="N1045" s="5">
        <f t="shared" si="15"/>
        <v>58.217499999999994</v>
      </c>
      <c r="O1045" s="5">
        <f t="shared" si="15"/>
        <v>4.4104999999999999</v>
      </c>
      <c r="P1045" s="5">
        <f t="shared" si="15"/>
        <v>14.718800000000003</v>
      </c>
      <c r="Q1045" s="5">
        <f t="shared" si="15"/>
        <v>384.12599999999998</v>
      </c>
      <c r="R1045" s="5"/>
      <c r="S1045" s="4"/>
    </row>
    <row r="1046" spans="1:19" ht="15" customHeight="1">
      <c r="A1046" s="3">
        <v>2024</v>
      </c>
      <c r="B1046" s="8">
        <f t="shared" ref="B1046:J1046" si="16">AVERAGE(B113:B124)</f>
        <v>4.3644500000000006</v>
      </c>
      <c r="C1046" s="8">
        <f t="shared" si="16"/>
        <v>4.3748833333333339</v>
      </c>
      <c r="D1046" s="8">
        <f t="shared" si="16"/>
        <v>4.3710166666666677</v>
      </c>
      <c r="E1046" s="8">
        <f t="shared" si="16"/>
        <v>4.3711333333333329</v>
      </c>
      <c r="F1046" s="4">
        <f t="shared" si="16"/>
        <v>5.3699666666666666</v>
      </c>
      <c r="G1046" s="8">
        <f t="shared" si="16"/>
        <v>4.2573166666666671</v>
      </c>
      <c r="H1046" s="4">
        <f t="shared" si="16"/>
        <v>5.1582416666666679</v>
      </c>
      <c r="I1046" s="8">
        <f t="shared" si="16"/>
        <v>4.251666666666666</v>
      </c>
      <c r="J1046" s="4">
        <f t="shared" si="16"/>
        <v>4.1772666666666671</v>
      </c>
      <c r="K1046" s="4"/>
      <c r="L1046" s="5">
        <f t="shared" ref="L1046:Q1046" si="17">SUM(L113:L124)</f>
        <v>336.95349999999996</v>
      </c>
      <c r="M1046" s="5">
        <f t="shared" si="17"/>
        <v>142.42920000000001</v>
      </c>
      <c r="N1046" s="5">
        <f t="shared" si="17"/>
        <v>58.377000000000002</v>
      </c>
      <c r="O1046" s="5">
        <f t="shared" si="17"/>
        <v>4.4226000000000001</v>
      </c>
      <c r="P1046" s="5">
        <f t="shared" si="17"/>
        <v>14.760600000000004</v>
      </c>
      <c r="Q1046" s="5">
        <f t="shared" si="17"/>
        <v>383.00459999999998</v>
      </c>
      <c r="R1046" s="5"/>
      <c r="S1046" s="4"/>
    </row>
    <row r="1047" spans="1:19" ht="15" customHeight="1">
      <c r="A1047" s="3">
        <v>2025</v>
      </c>
      <c r="B1047" s="8">
        <f t="shared" ref="B1047:J1047" si="18">AVERAGE(B125:B136)</f>
        <v>4.7056083333333332</v>
      </c>
      <c r="C1047" s="8">
        <f t="shared" si="18"/>
        <v>4.7160083333333329</v>
      </c>
      <c r="D1047" s="8">
        <f t="shared" si="18"/>
        <v>4.7121583333333339</v>
      </c>
      <c r="E1047" s="8">
        <f t="shared" si="18"/>
        <v>4.7122666666666655</v>
      </c>
      <c r="F1047" s="4">
        <f t="shared" si="18"/>
        <v>5.7111166666666664</v>
      </c>
      <c r="G1047" s="8">
        <f t="shared" si="18"/>
        <v>4.5898583333333329</v>
      </c>
      <c r="H1047" s="4">
        <f t="shared" si="18"/>
        <v>5.4907750000000002</v>
      </c>
      <c r="I1047" s="8">
        <f t="shared" si="18"/>
        <v>4.5787083333333323</v>
      </c>
      <c r="J1047" s="4">
        <f t="shared" si="18"/>
        <v>4.504150000000001</v>
      </c>
      <c r="K1047" s="4"/>
      <c r="L1047" s="5">
        <f t="shared" ref="L1047:Q1047" si="19">SUM(L125:L136)</f>
        <v>336.06969999999995</v>
      </c>
      <c r="M1047" s="5">
        <f t="shared" si="19"/>
        <v>142.0401</v>
      </c>
      <c r="N1047" s="5">
        <f t="shared" si="19"/>
        <v>58.217499999999994</v>
      </c>
      <c r="O1047" s="5">
        <f t="shared" si="19"/>
        <v>4.4104999999999999</v>
      </c>
      <c r="P1047" s="5">
        <f t="shared" si="19"/>
        <v>14.718800000000003</v>
      </c>
      <c r="Q1047" s="5">
        <f t="shared" si="19"/>
        <v>379.76819999999998</v>
      </c>
      <c r="R1047" s="5"/>
      <c r="S1047" s="4"/>
    </row>
    <row r="1048" spans="1:19" ht="15" customHeight="1">
      <c r="A1048" s="3">
        <v>2026</v>
      </c>
      <c r="B1048" s="8">
        <f t="shared" ref="B1048:J1048" si="20">AVERAGE(B137:B148)</f>
        <v>4.9291166666666673</v>
      </c>
      <c r="C1048" s="8">
        <f t="shared" si="20"/>
        <v>4.9395500000000006</v>
      </c>
      <c r="D1048" s="8">
        <f t="shared" si="20"/>
        <v>4.9356666666666662</v>
      </c>
      <c r="E1048" s="8">
        <f t="shared" si="20"/>
        <v>4.9357916666666659</v>
      </c>
      <c r="F1048" s="4">
        <f t="shared" si="20"/>
        <v>5.934616666666666</v>
      </c>
      <c r="G1048" s="8">
        <f t="shared" si="20"/>
        <v>4.8077250000000005</v>
      </c>
      <c r="H1048" s="4">
        <f t="shared" si="20"/>
        <v>5.7086583333333332</v>
      </c>
      <c r="I1048" s="8">
        <f t="shared" si="20"/>
        <v>4.7929750000000011</v>
      </c>
      <c r="J1048" s="4">
        <f t="shared" si="20"/>
        <v>4.7183250000000001</v>
      </c>
      <c r="K1048" s="4"/>
      <c r="L1048" s="5">
        <f t="shared" ref="L1048:Q1048" si="21">SUM(L137:L148)</f>
        <v>336.06969999999995</v>
      </c>
      <c r="M1048" s="5">
        <f t="shared" si="21"/>
        <v>142.0401</v>
      </c>
      <c r="N1048" s="5">
        <f t="shared" si="21"/>
        <v>58.217499999999994</v>
      </c>
      <c r="O1048" s="5">
        <f t="shared" si="21"/>
        <v>4.4104999999999999</v>
      </c>
      <c r="P1048" s="5">
        <f t="shared" si="21"/>
        <v>14.718800000000003</v>
      </c>
      <c r="Q1048" s="5">
        <f t="shared" si="21"/>
        <v>377.59969999999987</v>
      </c>
      <c r="R1048" s="5"/>
      <c r="S1048" s="4"/>
    </row>
    <row r="1049" spans="1:19" ht="15" customHeight="1">
      <c r="A1049" s="3">
        <v>2027</v>
      </c>
      <c r="B1049" s="8">
        <f t="shared" ref="B1049:J1049" si="22">AVERAGE(B149:B160)</f>
        <v>5.1596916666666663</v>
      </c>
      <c r="C1049" s="8">
        <f t="shared" si="22"/>
        <v>5.170116666666666</v>
      </c>
      <c r="D1049" s="8">
        <f t="shared" si="22"/>
        <v>5.1662333333333335</v>
      </c>
      <c r="E1049" s="8">
        <f t="shared" si="22"/>
        <v>5.1663499999999996</v>
      </c>
      <c r="F1049" s="4">
        <f t="shared" si="22"/>
        <v>6.1651999999999996</v>
      </c>
      <c r="G1049" s="8">
        <f t="shared" si="22"/>
        <v>5.0324833333333325</v>
      </c>
      <c r="H1049" s="4">
        <f t="shared" si="22"/>
        <v>5.9334166666666661</v>
      </c>
      <c r="I1049" s="8">
        <f t="shared" si="22"/>
        <v>5.0140250000000002</v>
      </c>
      <c r="J1049" s="4">
        <f t="shared" si="22"/>
        <v>4.9392500000000004</v>
      </c>
      <c r="K1049" s="4"/>
      <c r="L1049" s="5">
        <f t="shared" ref="L1049:Q1049" si="23">SUM(L149:L160)</f>
        <v>336.06969999999995</v>
      </c>
      <c r="M1049" s="5">
        <f t="shared" si="23"/>
        <v>142.0401</v>
      </c>
      <c r="N1049" s="5">
        <f t="shared" si="23"/>
        <v>58.217499999999994</v>
      </c>
      <c r="O1049" s="5">
        <f t="shared" si="23"/>
        <v>4.4104999999999999</v>
      </c>
      <c r="P1049" s="5">
        <f t="shared" si="23"/>
        <v>14.718800000000003</v>
      </c>
      <c r="Q1049" s="5">
        <f t="shared" si="23"/>
        <v>375.43180000000001</v>
      </c>
      <c r="R1049" s="5"/>
      <c r="S1049" s="4"/>
    </row>
    <row r="1050" spans="1:19" ht="15" customHeight="1">
      <c r="A1050" s="3">
        <v>2028</v>
      </c>
      <c r="B1050" s="8">
        <f t="shared" ref="B1050:J1050" si="24">AVERAGE(B161:B172)</f>
        <v>5.2627499999999996</v>
      </c>
      <c r="C1050" s="8">
        <f t="shared" si="24"/>
        <v>5.2731833333333329</v>
      </c>
      <c r="D1050" s="8">
        <f t="shared" si="24"/>
        <v>5.2693083333333339</v>
      </c>
      <c r="E1050" s="8">
        <f t="shared" si="24"/>
        <v>5.2694333333333345</v>
      </c>
      <c r="F1050" s="4">
        <f t="shared" si="24"/>
        <v>6.2682416666666674</v>
      </c>
      <c r="G1050" s="8">
        <f t="shared" si="24"/>
        <v>5.1329333333333329</v>
      </c>
      <c r="H1050" s="4">
        <f t="shared" si="24"/>
        <v>6.0338666666666674</v>
      </c>
      <c r="I1050" s="8">
        <f t="shared" si="24"/>
        <v>5.1128250000000008</v>
      </c>
      <c r="J1050" s="4">
        <f t="shared" si="24"/>
        <v>5.0379999999999994</v>
      </c>
      <c r="K1050" s="4"/>
      <c r="L1050" s="5">
        <f t="shared" ref="L1050:Q1050" si="25">SUM(L161:L172)</f>
        <v>336.95349999999996</v>
      </c>
      <c r="M1050" s="5">
        <f t="shared" si="25"/>
        <v>142.42920000000001</v>
      </c>
      <c r="N1050" s="5">
        <f t="shared" si="25"/>
        <v>58.377000000000002</v>
      </c>
      <c r="O1050" s="5">
        <f t="shared" si="25"/>
        <v>4.4226000000000001</v>
      </c>
      <c r="P1050" s="5">
        <f t="shared" si="25"/>
        <v>14.760600000000004</v>
      </c>
      <c r="Q1050" s="5">
        <f t="shared" si="25"/>
        <v>374.28599999999994</v>
      </c>
      <c r="R1050" s="5"/>
      <c r="S1050" s="4"/>
    </row>
    <row r="1051" spans="1:19" ht="15" customHeight="1">
      <c r="A1051" s="3">
        <v>2029</v>
      </c>
      <c r="B1051" s="8">
        <f t="shared" ref="B1051:J1051" si="26">AVERAGE(B173:B184)</f>
        <v>5.367866666666667</v>
      </c>
      <c r="C1051" s="8">
        <f t="shared" si="26"/>
        <v>5.3783166666666666</v>
      </c>
      <c r="D1051" s="8">
        <f t="shared" si="26"/>
        <v>5.3744166666666651</v>
      </c>
      <c r="E1051" s="8">
        <f t="shared" si="26"/>
        <v>5.3745416666666666</v>
      </c>
      <c r="F1051" s="4">
        <f t="shared" si="26"/>
        <v>6.3733666666666666</v>
      </c>
      <c r="G1051" s="8">
        <f t="shared" si="26"/>
        <v>5.2354250000000002</v>
      </c>
      <c r="H1051" s="4">
        <f t="shared" si="26"/>
        <v>6.1363416666666666</v>
      </c>
      <c r="I1051" s="8">
        <f t="shared" si="26"/>
        <v>5.2135916666666668</v>
      </c>
      <c r="J1051" s="4">
        <f t="shared" si="26"/>
        <v>5.138725</v>
      </c>
      <c r="K1051" s="4"/>
      <c r="L1051" s="5">
        <f t="shared" ref="L1051:Q1051" si="27">SUM(L173:L184)</f>
        <v>336.06969999999995</v>
      </c>
      <c r="M1051" s="5">
        <f t="shared" si="27"/>
        <v>142.0401</v>
      </c>
      <c r="N1051" s="5">
        <f t="shared" si="27"/>
        <v>58.217499999999994</v>
      </c>
      <c r="O1051" s="5">
        <f t="shared" si="27"/>
        <v>4.4104999999999999</v>
      </c>
      <c r="P1051" s="5">
        <f t="shared" si="27"/>
        <v>14.718800000000003</v>
      </c>
      <c r="Q1051" s="5">
        <f t="shared" si="27"/>
        <v>371.09549999999996</v>
      </c>
      <c r="R1051" s="5"/>
      <c r="S1051" s="4"/>
    </row>
    <row r="1052" spans="1:19" ht="15" customHeight="1">
      <c r="A1052" s="3">
        <v>2030</v>
      </c>
      <c r="B1052" s="8">
        <f t="shared" ref="B1052:J1052" si="28">AVERAGE(B185:B196)</f>
        <v>5.4750749999999995</v>
      </c>
      <c r="C1052" s="8">
        <f t="shared" si="28"/>
        <v>5.4855333333333327</v>
      </c>
      <c r="D1052" s="8">
        <f t="shared" si="28"/>
        <v>5.4816499999999992</v>
      </c>
      <c r="E1052" s="8">
        <f t="shared" si="28"/>
        <v>5.4817666666666653</v>
      </c>
      <c r="F1052" s="4">
        <f t="shared" si="28"/>
        <v>6.4805916666666663</v>
      </c>
      <c r="G1052" s="8">
        <f t="shared" si="28"/>
        <v>5.3399333333333336</v>
      </c>
      <c r="H1052" s="4">
        <f t="shared" si="28"/>
        <v>6.2408833333333327</v>
      </c>
      <c r="I1052" s="8">
        <f t="shared" si="28"/>
        <v>5.3164083333333325</v>
      </c>
      <c r="J1052" s="4">
        <f t="shared" si="28"/>
        <v>5.2414666666666667</v>
      </c>
      <c r="K1052" s="4"/>
      <c r="L1052" s="5">
        <f t="shared" ref="L1052:Q1052" si="29">SUM(L185:L196)</f>
        <v>336.06969999999995</v>
      </c>
      <c r="M1052" s="5">
        <f t="shared" si="29"/>
        <v>142.0401</v>
      </c>
      <c r="N1052" s="5">
        <f t="shared" si="29"/>
        <v>58.217499999999994</v>
      </c>
      <c r="O1052" s="5">
        <f t="shared" si="29"/>
        <v>4.4104999999999999</v>
      </c>
      <c r="P1052" s="5">
        <f t="shared" si="29"/>
        <v>14.718800000000003</v>
      </c>
      <c r="Q1052" s="5">
        <f t="shared" si="29"/>
        <v>368.9276999999999</v>
      </c>
      <c r="R1052" s="5"/>
      <c r="S1052" s="4"/>
    </row>
    <row r="1053" spans="1:19" ht="15" customHeight="1">
      <c r="A1053" s="3">
        <v>2031</v>
      </c>
      <c r="B1053" s="8">
        <f t="shared" ref="B1053:J1053" si="30">AVERAGE(B197:B208)</f>
        <v>5.5844666666666676</v>
      </c>
      <c r="C1053" s="8">
        <f t="shared" si="30"/>
        <v>5.5948666666666655</v>
      </c>
      <c r="D1053" s="8">
        <f t="shared" si="30"/>
        <v>5.5910000000000002</v>
      </c>
      <c r="E1053" s="8">
        <f t="shared" si="30"/>
        <v>5.5911166666666672</v>
      </c>
      <c r="F1053" s="4">
        <f t="shared" si="30"/>
        <v>6.5899666666666663</v>
      </c>
      <c r="G1053" s="8">
        <f t="shared" si="30"/>
        <v>5.4465416666666657</v>
      </c>
      <c r="H1053" s="4">
        <f t="shared" si="30"/>
        <v>6.347458333333333</v>
      </c>
      <c r="I1053" s="8">
        <f t="shared" si="30"/>
        <v>5.4212500000000006</v>
      </c>
      <c r="J1053" s="4">
        <f t="shared" si="30"/>
        <v>5.3462750000000012</v>
      </c>
      <c r="K1053" s="4"/>
      <c r="L1053" s="5">
        <f t="shared" ref="L1053:Q1053" si="31">SUM(L197:L208)</f>
        <v>336.06969999999995</v>
      </c>
      <c r="M1053" s="5">
        <f t="shared" si="31"/>
        <v>142.0401</v>
      </c>
      <c r="N1053" s="5">
        <f t="shared" si="31"/>
        <v>58.217499999999994</v>
      </c>
      <c r="O1053" s="5">
        <f t="shared" si="31"/>
        <v>4.4104999999999999</v>
      </c>
      <c r="P1053" s="5">
        <f t="shared" si="31"/>
        <v>14.718800000000003</v>
      </c>
      <c r="Q1053" s="5">
        <f t="shared" si="31"/>
        <v>365.31420000000003</v>
      </c>
      <c r="R1053" s="5"/>
      <c r="S1053" s="4"/>
    </row>
    <row r="1054" spans="1:19" ht="15" customHeight="1">
      <c r="A1054" s="3">
        <v>2032</v>
      </c>
      <c r="B1054" s="8">
        <f t="shared" ref="B1054:J1054" si="32">AVERAGE(B209:B220)</f>
        <v>5.6960083333333325</v>
      </c>
      <c r="C1054" s="8">
        <f t="shared" si="32"/>
        <v>5.7064500000000002</v>
      </c>
      <c r="D1054" s="8">
        <f t="shared" si="32"/>
        <v>5.7025666666666668</v>
      </c>
      <c r="E1054" s="8">
        <f t="shared" si="32"/>
        <v>5.7026833333333338</v>
      </c>
      <c r="F1054" s="4">
        <f t="shared" si="32"/>
        <v>6.7015416666666674</v>
      </c>
      <c r="G1054" s="8">
        <f t="shared" si="32"/>
        <v>5.5552916666666663</v>
      </c>
      <c r="H1054" s="4">
        <f t="shared" si="32"/>
        <v>6.4562083333333327</v>
      </c>
      <c r="I1054" s="8">
        <f t="shared" si="32"/>
        <v>5.5282000000000018</v>
      </c>
      <c r="J1054" s="4">
        <f t="shared" si="32"/>
        <v>5.4531666666666654</v>
      </c>
      <c r="K1054" s="4"/>
      <c r="L1054" s="5">
        <f t="shared" ref="L1054:Q1054" si="33">SUM(L209:L220)</f>
        <v>336.95349999999996</v>
      </c>
      <c r="M1054" s="5">
        <f t="shared" si="33"/>
        <v>142.42920000000001</v>
      </c>
      <c r="N1054" s="5">
        <f t="shared" si="33"/>
        <v>58.377000000000002</v>
      </c>
      <c r="O1054" s="5">
        <f t="shared" si="33"/>
        <v>4.4226000000000001</v>
      </c>
      <c r="P1054" s="5">
        <f t="shared" si="33"/>
        <v>14.760600000000004</v>
      </c>
      <c r="Q1054" s="5">
        <f t="shared" si="33"/>
        <v>364.46999999999997</v>
      </c>
      <c r="R1054" s="5"/>
      <c r="S1054" s="4"/>
    </row>
    <row r="1055" spans="1:19" ht="15" customHeight="1">
      <c r="A1055" s="3">
        <v>2033</v>
      </c>
      <c r="B1055" s="8">
        <f t="shared" ref="B1055:J1055" si="34">AVERAGE(B221:B232)</f>
        <v>5.8097999999999992</v>
      </c>
      <c r="C1055" s="8">
        <f t="shared" si="34"/>
        <v>5.8202333333333334</v>
      </c>
      <c r="D1055" s="8">
        <f t="shared" si="34"/>
        <v>5.8163583333333335</v>
      </c>
      <c r="E1055" s="8">
        <f t="shared" si="34"/>
        <v>5.8164749999999996</v>
      </c>
      <c r="F1055" s="4">
        <f t="shared" si="34"/>
        <v>6.8153166666666678</v>
      </c>
      <c r="G1055" s="8">
        <f t="shared" si="34"/>
        <v>5.6662083333333326</v>
      </c>
      <c r="H1055" s="4">
        <f t="shared" si="34"/>
        <v>6.5671333333333335</v>
      </c>
      <c r="I1055" s="8">
        <f t="shared" si="34"/>
        <v>5.6372916666666661</v>
      </c>
      <c r="J1055" s="4">
        <f t="shared" si="34"/>
        <v>5.5622000000000007</v>
      </c>
      <c r="K1055" s="4"/>
      <c r="L1055" s="5">
        <f t="shared" ref="L1055:Q1055" si="35">SUM(L221:L232)</f>
        <v>336.06969999999995</v>
      </c>
      <c r="M1055" s="5">
        <f t="shared" si="35"/>
        <v>142.0401</v>
      </c>
      <c r="N1055" s="5">
        <f t="shared" si="35"/>
        <v>58.217499999999994</v>
      </c>
      <c r="O1055" s="5">
        <f t="shared" si="35"/>
        <v>4.4104999999999999</v>
      </c>
      <c r="P1055" s="5">
        <f t="shared" si="35"/>
        <v>14.718800000000003</v>
      </c>
      <c r="Q1055" s="5">
        <f t="shared" si="35"/>
        <v>362.33550000000002</v>
      </c>
      <c r="R1055" s="5"/>
      <c r="S1055" s="4"/>
    </row>
    <row r="1056" spans="1:19" ht="15" customHeight="1">
      <c r="A1056" s="3">
        <v>2034</v>
      </c>
      <c r="B1056" s="8">
        <f t="shared" ref="B1056:J1056" si="36">AVERAGE(B233:B244)</f>
        <v>5.9258583333333332</v>
      </c>
      <c r="C1056" s="8">
        <f t="shared" si="36"/>
        <v>5.9362916666666665</v>
      </c>
      <c r="D1056" s="8">
        <f t="shared" si="36"/>
        <v>5.9324083333333339</v>
      </c>
      <c r="E1056" s="8">
        <f t="shared" si="36"/>
        <v>5.9325333333333345</v>
      </c>
      <c r="F1056" s="4">
        <f t="shared" si="36"/>
        <v>6.9313666666666665</v>
      </c>
      <c r="G1056" s="8">
        <f t="shared" si="36"/>
        <v>5.7793166666666673</v>
      </c>
      <c r="H1056" s="4">
        <f t="shared" si="36"/>
        <v>6.6802583333333345</v>
      </c>
      <c r="I1056" s="8">
        <f t="shared" si="36"/>
        <v>5.7485416666666671</v>
      </c>
      <c r="J1056" s="4">
        <f t="shared" si="36"/>
        <v>5.6734</v>
      </c>
      <c r="K1056" s="4"/>
      <c r="L1056" s="5">
        <f t="shared" ref="L1056:Q1056" si="37">SUM(L233:L244)</f>
        <v>336.06969999999995</v>
      </c>
      <c r="M1056" s="5">
        <f t="shared" si="37"/>
        <v>142.0401</v>
      </c>
      <c r="N1056" s="5">
        <f t="shared" si="37"/>
        <v>58.217499999999994</v>
      </c>
      <c r="O1056" s="5">
        <f t="shared" si="37"/>
        <v>4.4104999999999999</v>
      </c>
      <c r="P1056" s="5">
        <f t="shared" si="37"/>
        <v>14.718800000000003</v>
      </c>
      <c r="Q1056" s="5">
        <f t="shared" si="37"/>
        <v>361.59120000000007</v>
      </c>
      <c r="R1056" s="5"/>
      <c r="S1056" s="4"/>
    </row>
    <row r="1057" spans="1:19" ht="15" customHeight="1">
      <c r="A1057" s="3">
        <v>2035</v>
      </c>
      <c r="B1057" s="8">
        <f t="shared" ref="B1057:J1057" si="38">AVERAGE(B245:B256)</f>
        <v>6.0442250000000008</v>
      </c>
      <c r="C1057" s="8">
        <f t="shared" si="38"/>
        <v>6.0546749999999996</v>
      </c>
      <c r="D1057" s="8">
        <f t="shared" si="38"/>
        <v>6.0507916666666661</v>
      </c>
      <c r="E1057" s="8">
        <f t="shared" si="38"/>
        <v>6.0508916666666659</v>
      </c>
      <c r="F1057" s="4">
        <f t="shared" si="38"/>
        <v>7.0497666666666667</v>
      </c>
      <c r="G1057" s="8">
        <f t="shared" si="38"/>
        <v>5.8947333333333338</v>
      </c>
      <c r="H1057" s="4">
        <f t="shared" si="38"/>
        <v>6.7956416666666657</v>
      </c>
      <c r="I1057" s="8">
        <f t="shared" si="38"/>
        <v>5.8620249999999992</v>
      </c>
      <c r="J1057" s="4">
        <f t="shared" si="38"/>
        <v>5.7868333333333339</v>
      </c>
      <c r="K1057" s="4"/>
      <c r="L1057" s="5">
        <f t="shared" ref="L1057:Q1057" si="39">SUM(L245:L256)</f>
        <v>336.06969999999995</v>
      </c>
      <c r="M1057" s="5">
        <f t="shared" si="39"/>
        <v>142.0401</v>
      </c>
      <c r="N1057" s="5">
        <f t="shared" si="39"/>
        <v>58.217499999999994</v>
      </c>
      <c r="O1057" s="5">
        <f t="shared" si="39"/>
        <v>4.4104999999999999</v>
      </c>
      <c r="P1057" s="5">
        <f t="shared" si="39"/>
        <v>14.718800000000003</v>
      </c>
      <c r="Q1057" s="5">
        <f t="shared" si="39"/>
        <v>360.82469999999995</v>
      </c>
      <c r="R1057" s="5"/>
      <c r="S1057" s="4"/>
    </row>
    <row r="1058" spans="1:19" ht="15" customHeight="1">
      <c r="A1058" s="3">
        <v>2036</v>
      </c>
      <c r="B1058" s="8">
        <f t="shared" ref="B1058:J1058" si="40">AVERAGE(B257:B268)</f>
        <v>6.2416916666666671</v>
      </c>
      <c r="C1058" s="8">
        <f t="shared" si="40"/>
        <v>6.2521333333333331</v>
      </c>
      <c r="D1058" s="8">
        <f t="shared" si="40"/>
        <v>6.2482500000000014</v>
      </c>
      <c r="E1058" s="8">
        <f t="shared" si="40"/>
        <v>6.2483666666666666</v>
      </c>
      <c r="F1058" s="4">
        <f t="shared" si="40"/>
        <v>7.2472083333333321</v>
      </c>
      <c r="G1058" s="8">
        <f t="shared" si="40"/>
        <v>6.0871999999999993</v>
      </c>
      <c r="H1058" s="4">
        <f t="shared" si="40"/>
        <v>6.9881249999999993</v>
      </c>
      <c r="I1058" s="8">
        <f t="shared" si="40"/>
        <v>6.0513166666666676</v>
      </c>
      <c r="J1058" s="4">
        <f t="shared" si="40"/>
        <v>5.9760166666666663</v>
      </c>
      <c r="K1058" s="4"/>
      <c r="L1058" s="5">
        <f t="shared" ref="L1058:Q1058" si="41">SUM(L257:L268)</f>
        <v>336.95349999999996</v>
      </c>
      <c r="M1058" s="5">
        <f t="shared" si="41"/>
        <v>142.42920000000001</v>
      </c>
      <c r="N1058" s="5">
        <f t="shared" si="41"/>
        <v>58.377000000000002</v>
      </c>
      <c r="O1058" s="5">
        <f t="shared" si="41"/>
        <v>4.4226000000000001</v>
      </c>
      <c r="P1058" s="5">
        <f t="shared" si="41"/>
        <v>14.760600000000004</v>
      </c>
      <c r="Q1058" s="5">
        <f t="shared" si="41"/>
        <v>361.0446</v>
      </c>
      <c r="R1058" s="5"/>
      <c r="S1058" s="4"/>
    </row>
    <row r="1059" spans="1:19" ht="15" customHeight="1">
      <c r="A1059" s="3">
        <v>2037</v>
      </c>
      <c r="B1059" s="8">
        <f t="shared" ref="B1059:J1059" si="42">AVERAGE(B269:B280)</f>
        <v>6.4455916666666679</v>
      </c>
      <c r="C1059" s="8">
        <f t="shared" si="42"/>
        <v>6.4560416666666667</v>
      </c>
      <c r="D1059" s="8">
        <f t="shared" si="42"/>
        <v>6.4521500000000005</v>
      </c>
      <c r="E1059" s="8">
        <f t="shared" si="42"/>
        <v>6.4522666666666657</v>
      </c>
      <c r="F1059" s="4">
        <f t="shared" si="42"/>
        <v>7.4511083333333339</v>
      </c>
      <c r="G1059" s="8">
        <f t="shared" si="42"/>
        <v>6.2859500000000006</v>
      </c>
      <c r="H1059" s="4">
        <f t="shared" si="42"/>
        <v>7.1869000000000005</v>
      </c>
      <c r="I1059" s="8">
        <f t="shared" si="42"/>
        <v>6.2468083333333331</v>
      </c>
      <c r="J1059" s="4">
        <f t="shared" si="42"/>
        <v>6.1713999999999993</v>
      </c>
      <c r="K1059" s="4"/>
      <c r="L1059" s="5">
        <f t="shared" ref="L1059:Q1059" si="43">SUM(L269:L280)</f>
        <v>336.06969999999995</v>
      </c>
      <c r="M1059" s="5">
        <f t="shared" si="43"/>
        <v>142.0401</v>
      </c>
      <c r="N1059" s="5">
        <f t="shared" si="43"/>
        <v>58.217499999999994</v>
      </c>
      <c r="O1059" s="5">
        <f t="shared" si="43"/>
        <v>4.4104999999999999</v>
      </c>
      <c r="P1059" s="5">
        <f t="shared" si="43"/>
        <v>14.718800000000003</v>
      </c>
      <c r="Q1059" s="5">
        <f t="shared" si="43"/>
        <v>359.29169999999999</v>
      </c>
      <c r="R1059" s="5"/>
      <c r="S1059" s="4"/>
    </row>
    <row r="1060" spans="1:19" ht="15" customHeight="1">
      <c r="A1060" s="3">
        <f t="shared" ref="A1060:A1091" si="44">A1059+1</f>
        <v>2038</v>
      </c>
      <c r="B1060" s="8">
        <f t="shared" ref="B1060:J1060" si="45">AVERAGE(B281:B292)</f>
        <v>6.6561666666666666</v>
      </c>
      <c r="C1060" s="8">
        <f t="shared" si="45"/>
        <v>6.6666083333333335</v>
      </c>
      <c r="D1060" s="8">
        <f t="shared" si="45"/>
        <v>6.6627166666666673</v>
      </c>
      <c r="E1060" s="8">
        <f t="shared" si="45"/>
        <v>6.6628416666666679</v>
      </c>
      <c r="F1060" s="4">
        <f t="shared" si="45"/>
        <v>7.6616833333333352</v>
      </c>
      <c r="G1060" s="8">
        <f t="shared" si="45"/>
        <v>6.4912166666666673</v>
      </c>
      <c r="H1060" s="4">
        <f t="shared" si="45"/>
        <v>7.3921500000000009</v>
      </c>
      <c r="I1060" s="8">
        <f t="shared" si="45"/>
        <v>6.448666666666667</v>
      </c>
      <c r="J1060" s="4">
        <f t="shared" si="45"/>
        <v>6.3731999999999998</v>
      </c>
      <c r="K1060" s="4"/>
      <c r="L1060" s="5">
        <f t="shared" ref="L1060:Q1060" si="46">SUM(L281:L292)</f>
        <v>336.06969999999995</v>
      </c>
      <c r="M1060" s="5">
        <f t="shared" si="46"/>
        <v>142.0401</v>
      </c>
      <c r="N1060" s="5">
        <f t="shared" si="46"/>
        <v>58.217499999999994</v>
      </c>
      <c r="O1060" s="5">
        <f t="shared" si="46"/>
        <v>4.4104999999999999</v>
      </c>
      <c r="P1060" s="5">
        <f t="shared" si="46"/>
        <v>14.718800000000003</v>
      </c>
      <c r="Q1060" s="5">
        <f t="shared" si="46"/>
        <v>358.54670000000004</v>
      </c>
      <c r="R1060" s="5"/>
      <c r="S1060" s="4"/>
    </row>
    <row r="1061" spans="1:19" ht="15" customHeight="1">
      <c r="A1061" s="3">
        <f t="shared" si="44"/>
        <v>2039</v>
      </c>
      <c r="B1061" s="8">
        <f t="shared" ref="B1061:J1061" si="47">AVERAGE(B293:B304)</f>
        <v>6.8736166666666669</v>
      </c>
      <c r="C1061" s="8">
        <f t="shared" si="47"/>
        <v>6.8840666666666666</v>
      </c>
      <c r="D1061" s="8">
        <f t="shared" si="47"/>
        <v>6.8801833333333322</v>
      </c>
      <c r="E1061" s="8">
        <f t="shared" si="47"/>
        <v>6.8803083333333346</v>
      </c>
      <c r="F1061" s="4">
        <f t="shared" si="47"/>
        <v>7.8791333333333329</v>
      </c>
      <c r="G1061" s="8">
        <f t="shared" si="47"/>
        <v>6.7032083333333334</v>
      </c>
      <c r="H1061" s="4">
        <f t="shared" si="47"/>
        <v>7.6041249999999998</v>
      </c>
      <c r="I1061" s="8">
        <f t="shared" si="47"/>
        <v>6.6571500000000006</v>
      </c>
      <c r="J1061" s="4">
        <f t="shared" si="47"/>
        <v>6.5815416666666664</v>
      </c>
      <c r="K1061" s="7"/>
      <c r="L1061" s="5">
        <f t="shared" ref="L1061:Q1061" si="48">SUM(L293:L304)</f>
        <v>336.06969999999995</v>
      </c>
      <c r="M1061" s="5">
        <f t="shared" si="48"/>
        <v>142.0401</v>
      </c>
      <c r="N1061" s="5">
        <f t="shared" si="48"/>
        <v>58.217499999999994</v>
      </c>
      <c r="O1061" s="5">
        <f t="shared" si="48"/>
        <v>4.4104999999999999</v>
      </c>
      <c r="P1061" s="5">
        <f t="shared" si="48"/>
        <v>14.718800000000003</v>
      </c>
      <c r="Q1061" s="5">
        <f t="shared" si="48"/>
        <v>357.78019999999998</v>
      </c>
      <c r="R1061" s="5"/>
      <c r="S1061" s="6"/>
    </row>
    <row r="1062" spans="1:19" ht="15" customHeight="1">
      <c r="A1062" s="3">
        <f t="shared" si="44"/>
        <v>2040</v>
      </c>
      <c r="B1062" s="8">
        <f t="shared" ref="B1062:J1062" si="49">AVERAGE(B305:B316)</f>
        <v>7.0982083333333348</v>
      </c>
      <c r="C1062" s="8">
        <f t="shared" si="49"/>
        <v>7.1086500000000008</v>
      </c>
      <c r="D1062" s="8">
        <f t="shared" si="49"/>
        <v>7.1047583333333337</v>
      </c>
      <c r="E1062" s="8">
        <f t="shared" si="49"/>
        <v>7.1048833333333334</v>
      </c>
      <c r="F1062" s="4">
        <f t="shared" si="49"/>
        <v>8.1037333333333326</v>
      </c>
      <c r="G1062" s="8">
        <f t="shared" si="49"/>
        <v>6.9221000000000004</v>
      </c>
      <c r="H1062" s="4">
        <f t="shared" si="49"/>
        <v>7.8230166666666676</v>
      </c>
      <c r="I1062" s="8">
        <f t="shared" si="49"/>
        <v>6.8724416666666661</v>
      </c>
      <c r="J1062" s="4">
        <f t="shared" si="49"/>
        <v>6.7967333333333348</v>
      </c>
      <c r="K1062" s="7"/>
      <c r="L1062" s="5">
        <f t="shared" ref="L1062:Q1062" si="50">SUM(L305:L316)</f>
        <v>336.95349999999996</v>
      </c>
      <c r="M1062" s="5">
        <f t="shared" si="50"/>
        <v>142.42920000000001</v>
      </c>
      <c r="N1062" s="5">
        <f t="shared" si="50"/>
        <v>58.377000000000002</v>
      </c>
      <c r="O1062" s="5">
        <f t="shared" si="50"/>
        <v>4.4226000000000001</v>
      </c>
      <c r="P1062" s="5">
        <f t="shared" si="50"/>
        <v>14.760600000000004</v>
      </c>
      <c r="Q1062" s="5">
        <f t="shared" si="50"/>
        <v>357.99180000000001</v>
      </c>
      <c r="R1062" s="5"/>
      <c r="S1062" s="6"/>
    </row>
    <row r="1063" spans="1:19" ht="15" customHeight="1">
      <c r="A1063" s="3">
        <f t="shared" si="44"/>
        <v>2041</v>
      </c>
      <c r="B1063" s="8">
        <f t="shared" ref="B1063:J1063" si="51">AVERAGE(B317:B328)</f>
        <v>7.3301166666666679</v>
      </c>
      <c r="C1063" s="8">
        <f t="shared" si="51"/>
        <v>7.3405666666666667</v>
      </c>
      <c r="D1063" s="8">
        <f t="shared" si="51"/>
        <v>7.3366749999999996</v>
      </c>
      <c r="E1063" s="8">
        <f t="shared" si="51"/>
        <v>7.3368083333333338</v>
      </c>
      <c r="F1063" s="4">
        <f t="shared" si="51"/>
        <v>8.3356249999999985</v>
      </c>
      <c r="G1063" s="8">
        <f t="shared" si="51"/>
        <v>7.1481500000000011</v>
      </c>
      <c r="H1063" s="4">
        <f t="shared" si="51"/>
        <v>8.0490750000000002</v>
      </c>
      <c r="I1063" s="8">
        <f t="shared" si="51"/>
        <v>7.0947833333333321</v>
      </c>
      <c r="J1063" s="4">
        <f t="shared" si="51"/>
        <v>7.018958333333333</v>
      </c>
      <c r="K1063" s="7"/>
      <c r="L1063" s="5">
        <f t="shared" ref="L1063:Q1063" si="52">SUM(L317:L328)</f>
        <v>336.06969999999995</v>
      </c>
      <c r="M1063" s="5">
        <f t="shared" si="52"/>
        <v>142.0401</v>
      </c>
      <c r="N1063" s="5">
        <f t="shared" si="52"/>
        <v>58.217499999999994</v>
      </c>
      <c r="O1063" s="5">
        <f t="shared" si="52"/>
        <v>4.4104999999999999</v>
      </c>
      <c r="P1063" s="5">
        <f t="shared" si="52"/>
        <v>14.718800000000003</v>
      </c>
      <c r="Q1063" s="5">
        <f t="shared" si="52"/>
        <v>356.26930000000004</v>
      </c>
      <c r="R1063" s="5"/>
      <c r="S1063" s="6"/>
    </row>
    <row r="1064" spans="1:19" ht="15" customHeight="1">
      <c r="A1064" s="3">
        <f t="shared" si="44"/>
        <v>2042</v>
      </c>
      <c r="B1064" s="8">
        <f t="shared" ref="B1064:J1064" si="53">AVERAGE(B329:B340)</f>
        <v>7.5696166666666675</v>
      </c>
      <c r="C1064" s="8">
        <f t="shared" si="53"/>
        <v>7.5800750000000008</v>
      </c>
      <c r="D1064" s="8">
        <f t="shared" si="53"/>
        <v>7.5761833333333328</v>
      </c>
      <c r="E1064" s="8">
        <f t="shared" si="53"/>
        <v>7.5763083333333334</v>
      </c>
      <c r="F1064" s="4">
        <f t="shared" si="53"/>
        <v>8.5751416666666671</v>
      </c>
      <c r="G1064" s="8">
        <f t="shared" si="53"/>
        <v>7.3816250000000005</v>
      </c>
      <c r="H1064" s="4">
        <f t="shared" si="53"/>
        <v>8.2825583333333324</v>
      </c>
      <c r="I1064" s="8">
        <f t="shared" si="53"/>
        <v>7.3243833333333335</v>
      </c>
      <c r="J1064" s="4">
        <f t="shared" si="53"/>
        <v>7.2484583333333346</v>
      </c>
      <c r="K1064" s="7"/>
      <c r="L1064" s="5">
        <f t="shared" ref="L1064:Q1064" si="54">SUM(L329:L340)</f>
        <v>336.06969999999995</v>
      </c>
      <c r="M1064" s="5">
        <f t="shared" si="54"/>
        <v>142.0401</v>
      </c>
      <c r="N1064" s="5">
        <f t="shared" si="54"/>
        <v>58.217499999999994</v>
      </c>
      <c r="O1064" s="5">
        <f t="shared" si="54"/>
        <v>4.4104999999999999</v>
      </c>
      <c r="P1064" s="5">
        <f t="shared" si="54"/>
        <v>14.718800000000003</v>
      </c>
      <c r="Q1064" s="5">
        <f t="shared" si="54"/>
        <v>242.47669999999997</v>
      </c>
      <c r="R1064" s="5"/>
      <c r="S1064" s="6"/>
    </row>
    <row r="1065" spans="1:19" ht="15" customHeight="1">
      <c r="A1065" s="3">
        <f t="shared" si="44"/>
        <v>2043</v>
      </c>
      <c r="B1065" s="8">
        <f t="shared" ref="B1065:J1065" si="55">AVERAGE(B341:B352)</f>
        <v>7.8169416666666658</v>
      </c>
      <c r="C1065" s="8">
        <f t="shared" si="55"/>
        <v>7.8273916666666663</v>
      </c>
      <c r="D1065" s="8">
        <f t="shared" si="55"/>
        <v>7.8235166666666673</v>
      </c>
      <c r="E1065" s="8">
        <f t="shared" si="55"/>
        <v>7.8236166666666662</v>
      </c>
      <c r="F1065" s="4">
        <f t="shared" si="55"/>
        <v>8.8224833333333326</v>
      </c>
      <c r="G1065" s="8">
        <f t="shared" si="55"/>
        <v>7.6227166666666664</v>
      </c>
      <c r="H1065" s="4">
        <f t="shared" si="55"/>
        <v>8.5236583333333336</v>
      </c>
      <c r="I1065" s="8">
        <f t="shared" si="55"/>
        <v>7.5614999999999997</v>
      </c>
      <c r="J1065" s="4">
        <f t="shared" si="55"/>
        <v>7.4854416666666665</v>
      </c>
      <c r="K1065" s="7"/>
      <c r="L1065" s="5">
        <f t="shared" ref="L1065:Q1065" si="56">SUM(L341:L352)</f>
        <v>336.06969999999995</v>
      </c>
      <c r="M1065" s="5">
        <f t="shared" si="56"/>
        <v>142.0401</v>
      </c>
      <c r="N1065" s="5">
        <f t="shared" si="56"/>
        <v>58.217499999999994</v>
      </c>
      <c r="O1065" s="5">
        <f t="shared" si="56"/>
        <v>4.4104999999999999</v>
      </c>
      <c r="P1065" s="5">
        <f t="shared" si="56"/>
        <v>14.718800000000003</v>
      </c>
      <c r="Q1065" s="5">
        <f t="shared" si="56"/>
        <v>241.71019999999996</v>
      </c>
      <c r="R1065" s="5"/>
      <c r="S1065" s="6"/>
    </row>
    <row r="1066" spans="1:19" ht="15" customHeight="1">
      <c r="A1066" s="3">
        <f t="shared" si="44"/>
        <v>2044</v>
      </c>
      <c r="B1066" s="8">
        <f t="shared" ref="B1066:J1066" si="57">AVERAGE(B353:B364)</f>
        <v>8.0723833333333346</v>
      </c>
      <c r="C1066" s="8">
        <f t="shared" si="57"/>
        <v>8.0828083333333325</v>
      </c>
      <c r="D1066" s="8">
        <f t="shared" si="57"/>
        <v>8.0789416666666654</v>
      </c>
      <c r="E1066" s="8">
        <f t="shared" si="57"/>
        <v>8.0790500000000005</v>
      </c>
      <c r="F1066" s="4">
        <f t="shared" si="57"/>
        <v>9.0778999999999979</v>
      </c>
      <c r="G1066" s="8">
        <f t="shared" si="57"/>
        <v>7.8716833333333325</v>
      </c>
      <c r="H1066" s="4">
        <f t="shared" si="57"/>
        <v>8.7726333333333333</v>
      </c>
      <c r="I1066" s="8">
        <f t="shared" si="57"/>
        <v>7.8063583333333346</v>
      </c>
      <c r="J1066" s="4">
        <f t="shared" si="57"/>
        <v>7.7302</v>
      </c>
      <c r="K1066" s="7"/>
      <c r="L1066" s="5">
        <f t="shared" ref="L1066:Q1066" si="58">SUM(L353:L364)</f>
        <v>336.95349999999996</v>
      </c>
      <c r="M1066" s="5">
        <f t="shared" si="58"/>
        <v>142.42920000000001</v>
      </c>
      <c r="N1066" s="5">
        <f t="shared" si="58"/>
        <v>58.377000000000002</v>
      </c>
      <c r="O1066" s="5">
        <f t="shared" si="58"/>
        <v>4.4226000000000001</v>
      </c>
      <c r="P1066" s="5">
        <f t="shared" si="58"/>
        <v>14.760600000000004</v>
      </c>
      <c r="Q1066" s="5">
        <f t="shared" si="58"/>
        <v>241.58220000000006</v>
      </c>
      <c r="R1066" s="5"/>
      <c r="S1066" s="6"/>
    </row>
    <row r="1067" spans="1:19" ht="15" customHeight="1">
      <c r="A1067" s="3">
        <f t="shared" si="44"/>
        <v>2045</v>
      </c>
      <c r="B1067" s="8">
        <f t="shared" ref="B1067:J1067" si="59">AVERAGE(B365:B376)</f>
        <v>8.3361583333333318</v>
      </c>
      <c r="C1067" s="8">
        <f t="shared" si="59"/>
        <v>8.3466000000000005</v>
      </c>
      <c r="D1067" s="8">
        <f t="shared" si="59"/>
        <v>8.3427083333333325</v>
      </c>
      <c r="E1067" s="8">
        <f t="shared" si="59"/>
        <v>8.3428249999999995</v>
      </c>
      <c r="F1067" s="4">
        <f t="shared" si="59"/>
        <v>9.3416750000000004</v>
      </c>
      <c r="G1067" s="8">
        <f t="shared" si="59"/>
        <v>8.1288249999999991</v>
      </c>
      <c r="H1067" s="4">
        <f t="shared" si="59"/>
        <v>9.0297416666666646</v>
      </c>
      <c r="I1067" s="8">
        <f t="shared" si="59"/>
        <v>8.0592583333333323</v>
      </c>
      <c r="J1067" s="4">
        <f t="shared" si="59"/>
        <v>7.9829499999999998</v>
      </c>
      <c r="K1067" s="7"/>
      <c r="L1067" s="5">
        <f t="shared" ref="L1067:Q1067" si="60">SUM(L365:L376)</f>
        <v>336.06969999999995</v>
      </c>
      <c r="M1067" s="5">
        <f t="shared" si="60"/>
        <v>142.0401</v>
      </c>
      <c r="N1067" s="5">
        <f t="shared" si="60"/>
        <v>58.217499999999994</v>
      </c>
      <c r="O1067" s="5">
        <f t="shared" si="60"/>
        <v>4.4104999999999999</v>
      </c>
      <c r="P1067" s="5">
        <f t="shared" si="60"/>
        <v>14.718800000000003</v>
      </c>
      <c r="Q1067" s="5">
        <f t="shared" si="60"/>
        <v>240.15570000000002</v>
      </c>
      <c r="R1067" s="5"/>
      <c r="S1067" s="6"/>
    </row>
    <row r="1068" spans="1:19" ht="15" customHeight="1">
      <c r="A1068" s="3">
        <f t="shared" si="44"/>
        <v>2046</v>
      </c>
      <c r="B1068" s="8">
        <f t="shared" ref="B1068:J1068" si="61">AVERAGE(B377:B388)</f>
        <v>8.6085500000000028</v>
      </c>
      <c r="C1068" s="8">
        <f t="shared" si="61"/>
        <v>8.6190083333333334</v>
      </c>
      <c r="D1068" s="8">
        <f t="shared" si="61"/>
        <v>8.6151083333333318</v>
      </c>
      <c r="E1068" s="8">
        <f t="shared" si="61"/>
        <v>8.6152249999999988</v>
      </c>
      <c r="F1068" s="4">
        <f t="shared" si="61"/>
        <v>9.6140666666666679</v>
      </c>
      <c r="G1068" s="8">
        <f t="shared" si="61"/>
        <v>8.3943500000000011</v>
      </c>
      <c r="H1068" s="4">
        <f t="shared" si="61"/>
        <v>9.2952750000000002</v>
      </c>
      <c r="I1068" s="8">
        <f t="shared" si="61"/>
        <v>8.3203916666666675</v>
      </c>
      <c r="J1068" s="4">
        <f t="shared" si="61"/>
        <v>8.2439750000000007</v>
      </c>
      <c r="K1068" s="7"/>
      <c r="L1068" s="5">
        <f t="shared" ref="L1068:Q1068" si="62">SUM(L377:L388)</f>
        <v>336.06969999999995</v>
      </c>
      <c r="M1068" s="5">
        <f t="shared" si="62"/>
        <v>142.0401</v>
      </c>
      <c r="N1068" s="5">
        <f t="shared" si="62"/>
        <v>58.217499999999994</v>
      </c>
      <c r="O1068" s="5">
        <f t="shared" si="62"/>
        <v>4.4104999999999999</v>
      </c>
      <c r="P1068" s="5">
        <f t="shared" si="62"/>
        <v>14.718800000000003</v>
      </c>
      <c r="Q1068" s="5">
        <f t="shared" si="62"/>
        <v>239.38920000000005</v>
      </c>
      <c r="R1068" s="5"/>
      <c r="S1068" s="6"/>
    </row>
    <row r="1069" spans="1:19" ht="15" customHeight="1">
      <c r="A1069" s="3">
        <f t="shared" si="44"/>
        <v>2047</v>
      </c>
      <c r="B1069" s="8">
        <f t="shared" ref="B1069:J1069" si="63">AVERAGE(B389:B400)</f>
        <v>8.8898583333333328</v>
      </c>
      <c r="C1069" s="8">
        <f t="shared" si="63"/>
        <v>8.9003250000000005</v>
      </c>
      <c r="D1069" s="8">
        <f t="shared" si="63"/>
        <v>8.8964416666666661</v>
      </c>
      <c r="E1069" s="8">
        <f t="shared" si="63"/>
        <v>8.8965416666666659</v>
      </c>
      <c r="F1069" s="4">
        <f t="shared" si="63"/>
        <v>9.8953833333333332</v>
      </c>
      <c r="G1069" s="8">
        <f t="shared" si="63"/>
        <v>8.6685500000000015</v>
      </c>
      <c r="H1069" s="4">
        <f t="shared" si="63"/>
        <v>9.5694833333333325</v>
      </c>
      <c r="I1069" s="8">
        <f t="shared" si="63"/>
        <v>8.5900750000000006</v>
      </c>
      <c r="J1069" s="4">
        <f t="shared" si="63"/>
        <v>8.5135166666666677</v>
      </c>
      <c r="K1069" s="7"/>
      <c r="L1069" s="5">
        <f t="shared" ref="L1069:Q1069" si="64">SUM(L389:L400)</f>
        <v>336.06969999999995</v>
      </c>
      <c r="M1069" s="5">
        <f t="shared" si="64"/>
        <v>142.0401</v>
      </c>
      <c r="N1069" s="5">
        <f t="shared" si="64"/>
        <v>58.217499999999994</v>
      </c>
      <c r="O1069" s="5">
        <f t="shared" si="64"/>
        <v>4.4104999999999999</v>
      </c>
      <c r="P1069" s="5">
        <f t="shared" si="64"/>
        <v>14.718800000000003</v>
      </c>
      <c r="Q1069" s="5">
        <f t="shared" si="64"/>
        <v>238.62270000000004</v>
      </c>
      <c r="R1069" s="5"/>
      <c r="S1069" s="6"/>
    </row>
    <row r="1070" spans="1:19" ht="15" customHeight="1">
      <c r="A1070" s="3">
        <f t="shared" si="44"/>
        <v>2048</v>
      </c>
      <c r="B1070" s="8">
        <f t="shared" ref="B1070:J1070" si="65">AVERAGE(B401:B412)</f>
        <v>9.1803750000000015</v>
      </c>
      <c r="C1070" s="8">
        <f t="shared" si="65"/>
        <v>9.1908250000000002</v>
      </c>
      <c r="D1070" s="8">
        <f t="shared" si="65"/>
        <v>9.1869416666666677</v>
      </c>
      <c r="E1070" s="8">
        <f t="shared" si="65"/>
        <v>9.1870499999999993</v>
      </c>
      <c r="F1070" s="4">
        <f t="shared" si="65"/>
        <v>10.185916666666666</v>
      </c>
      <c r="G1070" s="8">
        <f t="shared" si="65"/>
        <v>8.9517416666666652</v>
      </c>
      <c r="H1070" s="4">
        <f t="shared" si="65"/>
        <v>9.8526749999999996</v>
      </c>
      <c r="I1070" s="8">
        <f t="shared" si="65"/>
        <v>8.8685749999999981</v>
      </c>
      <c r="J1070" s="4">
        <f t="shared" si="65"/>
        <v>8.7919</v>
      </c>
      <c r="K1070" s="7"/>
      <c r="L1070" s="5">
        <f t="shared" ref="L1070:Q1070" si="66">SUM(L401:L412)</f>
        <v>336.95349999999996</v>
      </c>
      <c r="M1070" s="5">
        <f t="shared" si="66"/>
        <v>142.42920000000001</v>
      </c>
      <c r="N1070" s="5">
        <f t="shared" si="66"/>
        <v>58.377000000000002</v>
      </c>
      <c r="O1070" s="5">
        <f t="shared" si="66"/>
        <v>4.4226000000000001</v>
      </c>
      <c r="P1070" s="5">
        <f t="shared" si="66"/>
        <v>14.760600000000004</v>
      </c>
      <c r="Q1070" s="5">
        <f t="shared" si="66"/>
        <v>238.50780000000003</v>
      </c>
      <c r="R1070" s="5"/>
      <c r="S1070" s="6"/>
    </row>
    <row r="1071" spans="1:19" ht="15" customHeight="1">
      <c r="A1071" s="3">
        <f t="shared" si="44"/>
        <v>2049</v>
      </c>
      <c r="B1071" s="8">
        <f t="shared" ref="B1071:J1071" si="67">AVERAGE(B413:B424)</f>
        <v>9.4804083333333313</v>
      </c>
      <c r="C1071" s="8">
        <f t="shared" si="67"/>
        <v>9.4908416666666664</v>
      </c>
      <c r="D1071" s="8">
        <f t="shared" si="67"/>
        <v>9.4869416666666684</v>
      </c>
      <c r="E1071" s="8">
        <f t="shared" si="67"/>
        <v>9.487074999999999</v>
      </c>
      <c r="F1071" s="4">
        <f t="shared" si="67"/>
        <v>10.485891666666667</v>
      </c>
      <c r="G1071" s="8">
        <f t="shared" si="67"/>
        <v>9.2441916666666675</v>
      </c>
      <c r="H1071" s="4">
        <f t="shared" si="67"/>
        <v>10.145133333333332</v>
      </c>
      <c r="I1071" s="8">
        <f t="shared" si="67"/>
        <v>9.1562083333333337</v>
      </c>
      <c r="J1071" s="4">
        <f t="shared" si="67"/>
        <v>9.0793583333333334</v>
      </c>
      <c r="K1071" s="7"/>
      <c r="L1071" s="5">
        <f t="shared" ref="L1071:Q1071" si="68">SUM(L413:L424)</f>
        <v>336.06969999999995</v>
      </c>
      <c r="M1071" s="5">
        <f t="shared" si="68"/>
        <v>142.0401</v>
      </c>
      <c r="N1071" s="5">
        <f t="shared" si="68"/>
        <v>58.217499999999994</v>
      </c>
      <c r="O1071" s="5">
        <f t="shared" si="68"/>
        <v>4.4104999999999999</v>
      </c>
      <c r="P1071" s="5">
        <f t="shared" si="68"/>
        <v>14.718800000000003</v>
      </c>
      <c r="Q1071" s="5">
        <f t="shared" si="68"/>
        <v>237.08969999999999</v>
      </c>
      <c r="R1071" s="5"/>
      <c r="S1071" s="6"/>
    </row>
    <row r="1072" spans="1:19" ht="15" customHeight="1">
      <c r="A1072" s="3">
        <f t="shared" si="44"/>
        <v>2050</v>
      </c>
      <c r="B1072" s="8">
        <f t="shared" ref="B1072:J1072" si="69">AVERAGE(B425:B436)</f>
        <v>9.7902166666666677</v>
      </c>
      <c r="C1072" s="8">
        <f t="shared" si="69"/>
        <v>9.8006499999999992</v>
      </c>
      <c r="D1072" s="8">
        <f t="shared" si="69"/>
        <v>9.7967749999999985</v>
      </c>
      <c r="E1072" s="8">
        <f t="shared" si="69"/>
        <v>9.7968833333333336</v>
      </c>
      <c r="F1072" s="4">
        <f t="shared" si="69"/>
        <v>10.795733333333333</v>
      </c>
      <c r="G1072" s="8">
        <f t="shared" si="69"/>
        <v>9.5462083333333343</v>
      </c>
      <c r="H1072" s="4">
        <f t="shared" si="69"/>
        <v>10.447141666666667</v>
      </c>
      <c r="I1072" s="8">
        <f t="shared" si="69"/>
        <v>9.4532416666666652</v>
      </c>
      <c r="J1072" s="4">
        <f t="shared" si="69"/>
        <v>9.376241666666667</v>
      </c>
      <c r="K1072" s="7"/>
      <c r="L1072" s="5">
        <f t="shared" ref="L1072:Q1072" si="70">SUM(L425:L436)</f>
        <v>336.06969999999995</v>
      </c>
      <c r="M1072" s="5">
        <f t="shared" si="70"/>
        <v>142.0401</v>
      </c>
      <c r="N1072" s="5">
        <f t="shared" si="70"/>
        <v>58.217499999999994</v>
      </c>
      <c r="O1072" s="5">
        <f t="shared" si="70"/>
        <v>4.4104999999999999</v>
      </c>
      <c r="P1072" s="5">
        <f t="shared" si="70"/>
        <v>14.718800000000003</v>
      </c>
      <c r="Q1072" s="5">
        <f t="shared" si="70"/>
        <v>236.32320000000004</v>
      </c>
      <c r="R1072" s="5"/>
      <c r="S1072" s="6"/>
    </row>
    <row r="1073" spans="1:19" ht="15" customHeight="1">
      <c r="A1073" s="3">
        <f t="shared" si="44"/>
        <v>2051</v>
      </c>
      <c r="B1073" s="8">
        <f t="shared" ref="B1073:J1073" si="71">AVERAGE(B437:B448)</f>
        <v>10.110166666666666</v>
      </c>
      <c r="C1073" s="8">
        <f t="shared" si="71"/>
        <v>10.120625000000002</v>
      </c>
      <c r="D1073" s="8">
        <f t="shared" si="71"/>
        <v>10.116733333333331</v>
      </c>
      <c r="E1073" s="8">
        <f t="shared" si="71"/>
        <v>10.116858333333331</v>
      </c>
      <c r="F1073" s="4">
        <f t="shared" si="71"/>
        <v>11.115691666666665</v>
      </c>
      <c r="G1073" s="8">
        <f t="shared" si="71"/>
        <v>9.8580666666666676</v>
      </c>
      <c r="H1073" s="4">
        <f t="shared" si="71"/>
        <v>10.759008333333334</v>
      </c>
      <c r="I1073" s="8">
        <f t="shared" si="71"/>
        <v>9.7599500000000017</v>
      </c>
      <c r="J1073" s="4">
        <f t="shared" si="71"/>
        <v>9.6828166666666657</v>
      </c>
      <c r="K1073" s="7"/>
      <c r="L1073" s="5">
        <f t="shared" ref="L1073:Q1073" si="72">SUM(L437:L448)</f>
        <v>336.06969999999995</v>
      </c>
      <c r="M1073" s="5">
        <f t="shared" si="72"/>
        <v>142.0401</v>
      </c>
      <c r="N1073" s="5">
        <f t="shared" si="72"/>
        <v>58.217499999999994</v>
      </c>
      <c r="O1073" s="5">
        <f t="shared" si="72"/>
        <v>4.4104999999999999</v>
      </c>
      <c r="P1073" s="5">
        <f t="shared" si="72"/>
        <v>14.718800000000003</v>
      </c>
      <c r="Q1073" s="5">
        <f t="shared" si="72"/>
        <v>235.57820000000007</v>
      </c>
      <c r="R1073" s="5"/>
      <c r="S1073" s="6"/>
    </row>
    <row r="1074" spans="1:19" ht="15" customHeight="1">
      <c r="A1074" s="3">
        <f t="shared" si="44"/>
        <v>2052</v>
      </c>
      <c r="B1074" s="8">
        <f t="shared" ref="B1074:J1074" si="73">AVERAGE(B449:B460)</f>
        <v>10.440591666666666</v>
      </c>
      <c r="C1074" s="8">
        <f t="shared" si="73"/>
        <v>10.45105</v>
      </c>
      <c r="D1074" s="8">
        <f t="shared" si="73"/>
        <v>10.447150000000001</v>
      </c>
      <c r="E1074" s="8">
        <f t="shared" si="73"/>
        <v>10.447283333333333</v>
      </c>
      <c r="F1074" s="4">
        <f t="shared" si="73"/>
        <v>11.446116666666667</v>
      </c>
      <c r="G1074" s="8">
        <f t="shared" si="73"/>
        <v>10.180158333333333</v>
      </c>
      <c r="H1074" s="4">
        <f t="shared" si="73"/>
        <v>11.081099999999999</v>
      </c>
      <c r="I1074" s="8">
        <f t="shared" si="73"/>
        <v>10.076699999999999</v>
      </c>
      <c r="J1074" s="4">
        <f t="shared" si="73"/>
        <v>9.9994333333333323</v>
      </c>
      <c r="K1074" s="7"/>
      <c r="L1074" s="5">
        <f t="shared" ref="L1074:Q1074" si="74">SUM(L449:L460)</f>
        <v>336.95349999999996</v>
      </c>
      <c r="M1074" s="5">
        <f t="shared" si="74"/>
        <v>142.42920000000001</v>
      </c>
      <c r="N1074" s="5">
        <f t="shared" si="74"/>
        <v>58.377000000000002</v>
      </c>
      <c r="O1074" s="5">
        <f t="shared" si="74"/>
        <v>4.4226000000000001</v>
      </c>
      <c r="P1074" s="5">
        <f t="shared" si="74"/>
        <v>14.760600000000004</v>
      </c>
      <c r="Q1074" s="5">
        <f t="shared" si="74"/>
        <v>235.45500000000004</v>
      </c>
      <c r="R1074" s="5"/>
      <c r="S1074" s="6"/>
    </row>
    <row r="1075" spans="1:19" ht="15" customHeight="1">
      <c r="A1075" s="3">
        <f t="shared" si="44"/>
        <v>2053</v>
      </c>
      <c r="B1075" s="8">
        <f t="shared" ref="B1075:J1075" si="75">AVERAGE(B461:B472)</f>
        <v>10.781816666666669</v>
      </c>
      <c r="C1075" s="8">
        <f t="shared" si="75"/>
        <v>10.792250000000001</v>
      </c>
      <c r="D1075" s="8">
        <f t="shared" si="75"/>
        <v>10.788375</v>
      </c>
      <c r="E1075" s="8">
        <f t="shared" si="75"/>
        <v>10.788491666666667</v>
      </c>
      <c r="F1075" s="4">
        <f t="shared" si="75"/>
        <v>11.787341666666665</v>
      </c>
      <c r="G1075" s="8">
        <f t="shared" si="75"/>
        <v>10.512766666666666</v>
      </c>
      <c r="H1075" s="4">
        <f t="shared" si="75"/>
        <v>11.413708333333332</v>
      </c>
      <c r="I1075" s="8">
        <f t="shared" si="75"/>
        <v>10.403849999999998</v>
      </c>
      <c r="J1075" s="4">
        <f t="shared" si="75"/>
        <v>10.326375000000001</v>
      </c>
      <c r="K1075" s="7"/>
      <c r="L1075" s="5">
        <f t="shared" ref="L1075:Q1075" si="76">SUM(L461:L472)</f>
        <v>336.06969999999995</v>
      </c>
      <c r="M1075" s="5">
        <f t="shared" si="76"/>
        <v>142.0401</v>
      </c>
      <c r="N1075" s="5">
        <f t="shared" si="76"/>
        <v>58.217499999999994</v>
      </c>
      <c r="O1075" s="5">
        <f t="shared" si="76"/>
        <v>4.4104999999999999</v>
      </c>
      <c r="P1075" s="5">
        <f t="shared" si="76"/>
        <v>14.718800000000003</v>
      </c>
      <c r="Q1075" s="5">
        <f t="shared" si="76"/>
        <v>234.04520000000002</v>
      </c>
      <c r="R1075" s="5"/>
      <c r="S1075" s="6"/>
    </row>
    <row r="1076" spans="1:19" ht="15" customHeight="1">
      <c r="A1076" s="3">
        <f t="shared" si="44"/>
        <v>2054</v>
      </c>
      <c r="B1076" s="8">
        <f t="shared" ref="B1076:J1076" si="77">AVERAGE(B473:B484)</f>
        <v>11.134208333333333</v>
      </c>
      <c r="C1076" s="8">
        <f t="shared" si="77"/>
        <v>11.14465</v>
      </c>
      <c r="D1076" s="8">
        <f t="shared" si="77"/>
        <v>11.140783333333333</v>
      </c>
      <c r="E1076" s="8">
        <f t="shared" si="77"/>
        <v>11.140900000000002</v>
      </c>
      <c r="F1076" s="4">
        <f t="shared" si="77"/>
        <v>12.139725</v>
      </c>
      <c r="G1076" s="8">
        <f t="shared" si="77"/>
        <v>10.856283333333332</v>
      </c>
      <c r="H1076" s="4">
        <f t="shared" si="77"/>
        <v>11.757216666666666</v>
      </c>
      <c r="I1076" s="8">
        <f t="shared" si="77"/>
        <v>10.741691666666666</v>
      </c>
      <c r="J1076" s="4">
        <f t="shared" si="77"/>
        <v>10.664041666666666</v>
      </c>
      <c r="K1076" s="7"/>
      <c r="L1076" s="5">
        <f t="shared" ref="L1076:Q1076" si="78">SUM(L473:L484)</f>
        <v>336.06969999999995</v>
      </c>
      <c r="M1076" s="5">
        <f t="shared" si="78"/>
        <v>142.0401</v>
      </c>
      <c r="N1076" s="5">
        <f t="shared" si="78"/>
        <v>58.217499999999994</v>
      </c>
      <c r="O1076" s="5">
        <f t="shared" si="78"/>
        <v>4.4104999999999999</v>
      </c>
      <c r="P1076" s="5">
        <f t="shared" si="78"/>
        <v>14.718800000000003</v>
      </c>
      <c r="Q1076" s="5">
        <f t="shared" si="78"/>
        <v>233.30079999999998</v>
      </c>
      <c r="R1076" s="5"/>
      <c r="S1076" s="6"/>
    </row>
    <row r="1077" spans="1:19" ht="15" customHeight="1">
      <c r="A1077" s="3">
        <f t="shared" si="44"/>
        <v>2055</v>
      </c>
      <c r="B1077" s="8">
        <f t="shared" ref="B1077:J1077" si="79">AVERAGE(B485:B496)</f>
        <v>11.498116666666666</v>
      </c>
      <c r="C1077" s="8">
        <f t="shared" si="79"/>
        <v>11.50855</v>
      </c>
      <c r="D1077" s="8">
        <f t="shared" si="79"/>
        <v>11.504674999999999</v>
      </c>
      <c r="E1077" s="8">
        <f t="shared" si="79"/>
        <v>11.504791666666668</v>
      </c>
      <c r="F1077" s="4">
        <f t="shared" si="79"/>
        <v>12.503625</v>
      </c>
      <c r="G1077" s="8">
        <f t="shared" si="79"/>
        <v>11.211</v>
      </c>
      <c r="H1077" s="4">
        <f t="shared" si="79"/>
        <v>12.111941666666667</v>
      </c>
      <c r="I1077" s="8">
        <f t="shared" si="79"/>
        <v>11.090549999999999</v>
      </c>
      <c r="J1077" s="4">
        <f t="shared" si="79"/>
        <v>11.012758333333332</v>
      </c>
      <c r="K1077" s="7"/>
      <c r="L1077" s="5">
        <f t="shared" ref="L1077:Q1077" si="80">SUM(L485:L496)</f>
        <v>336.06969999999995</v>
      </c>
      <c r="M1077" s="5">
        <f t="shared" si="80"/>
        <v>142.0401</v>
      </c>
      <c r="N1077" s="5">
        <f t="shared" si="80"/>
        <v>58.217499999999994</v>
      </c>
      <c r="O1077" s="5">
        <f t="shared" si="80"/>
        <v>4.4104999999999999</v>
      </c>
      <c r="P1077" s="5">
        <f t="shared" si="80"/>
        <v>14.718800000000003</v>
      </c>
      <c r="Q1077" s="5">
        <f t="shared" si="80"/>
        <v>232.55579999999998</v>
      </c>
      <c r="R1077" s="5"/>
      <c r="S1077" s="6"/>
    </row>
    <row r="1078" spans="1:19" ht="15" customHeight="1">
      <c r="A1078" s="3">
        <f t="shared" si="44"/>
        <v>2056</v>
      </c>
      <c r="B1078" s="8">
        <f t="shared" ref="B1078:J1078" si="81">AVERAGE(B497:B508)</f>
        <v>11.873941666666667</v>
      </c>
      <c r="C1078" s="8">
        <f t="shared" si="81"/>
        <v>11.884366666666665</v>
      </c>
      <c r="D1078" s="8">
        <f t="shared" si="81"/>
        <v>11.880491666666666</v>
      </c>
      <c r="E1078" s="8">
        <f t="shared" si="81"/>
        <v>11.880608333333333</v>
      </c>
      <c r="F1078" s="4">
        <f t="shared" si="81"/>
        <v>12.879449999999999</v>
      </c>
      <c r="G1078" s="8">
        <f t="shared" si="81"/>
        <v>11.577350000000001</v>
      </c>
      <c r="H1078" s="4">
        <f t="shared" si="81"/>
        <v>12.478274999999998</v>
      </c>
      <c r="I1078" s="8">
        <f t="shared" si="81"/>
        <v>11.450833333333334</v>
      </c>
      <c r="J1078" s="4">
        <f t="shared" si="81"/>
        <v>11.372841666666666</v>
      </c>
      <c r="K1078" s="7"/>
      <c r="L1078" s="5">
        <f t="shared" ref="L1078:Q1078" si="82">SUM(L497:L508)</f>
        <v>336.95349999999996</v>
      </c>
      <c r="M1078" s="5">
        <f t="shared" si="82"/>
        <v>142.42920000000001</v>
      </c>
      <c r="N1078" s="5">
        <f t="shared" si="82"/>
        <v>58.377000000000002</v>
      </c>
      <c r="O1078" s="5">
        <f t="shared" si="82"/>
        <v>4.4226000000000001</v>
      </c>
      <c r="P1078" s="5">
        <f t="shared" si="82"/>
        <v>14.760600000000004</v>
      </c>
      <c r="Q1078" s="5">
        <f t="shared" si="82"/>
        <v>232.44659999999996</v>
      </c>
      <c r="R1078" s="5"/>
      <c r="S1078" s="6"/>
    </row>
    <row r="1079" spans="1:19" ht="15" customHeight="1">
      <c r="A1079" s="3">
        <f t="shared" si="44"/>
        <v>2057</v>
      </c>
      <c r="B1079" s="8">
        <f t="shared" ref="B1079:J1079" si="83">AVERAGE(B509:B520)</f>
        <v>12.262025000000001</v>
      </c>
      <c r="C1079" s="8">
        <f t="shared" si="83"/>
        <v>12.272466666666666</v>
      </c>
      <c r="D1079" s="8">
        <f t="shared" si="83"/>
        <v>12.268583333333334</v>
      </c>
      <c r="E1079" s="8">
        <f t="shared" si="83"/>
        <v>12.268700000000001</v>
      </c>
      <c r="F1079" s="4">
        <f t="shared" si="83"/>
        <v>13.267533333333333</v>
      </c>
      <c r="G1079" s="8">
        <f t="shared" si="83"/>
        <v>11.955625</v>
      </c>
      <c r="H1079" s="4">
        <f t="shared" si="83"/>
        <v>12.856575000000001</v>
      </c>
      <c r="I1079" s="8">
        <f t="shared" si="83"/>
        <v>11.822891666666665</v>
      </c>
      <c r="J1079" s="4">
        <f t="shared" si="83"/>
        <v>11.744733333333334</v>
      </c>
      <c r="K1079" s="7"/>
      <c r="L1079" s="5">
        <f t="shared" ref="L1079:Q1079" si="84">SUM(L509:L520)</f>
        <v>336.06969999999995</v>
      </c>
      <c r="M1079" s="5">
        <f t="shared" si="84"/>
        <v>142.0401</v>
      </c>
      <c r="N1079" s="5">
        <f t="shared" si="84"/>
        <v>58.217499999999994</v>
      </c>
      <c r="O1079" s="5">
        <f t="shared" si="84"/>
        <v>4.4104999999999999</v>
      </c>
      <c r="P1079" s="5">
        <f t="shared" si="84"/>
        <v>14.718800000000003</v>
      </c>
      <c r="Q1079" s="5">
        <f t="shared" si="84"/>
        <v>231.81149999999997</v>
      </c>
      <c r="R1079" s="5"/>
      <c r="S1079" s="6"/>
    </row>
    <row r="1080" spans="1:19" ht="15" customHeight="1">
      <c r="A1080" s="3">
        <f t="shared" si="44"/>
        <v>2058</v>
      </c>
      <c r="B1080" s="8">
        <f t="shared" ref="B1080:J1080" si="85">AVERAGE(B521:B532)</f>
        <v>12.662808333333333</v>
      </c>
      <c r="C1080" s="8">
        <f t="shared" si="85"/>
        <v>12.673266666666668</v>
      </c>
      <c r="D1080" s="8">
        <f t="shared" si="85"/>
        <v>12.669366666666667</v>
      </c>
      <c r="E1080" s="8">
        <f t="shared" si="85"/>
        <v>12.669499999999999</v>
      </c>
      <c r="F1080" s="4">
        <f t="shared" si="85"/>
        <v>13.668333333333335</v>
      </c>
      <c r="G1080" s="8">
        <f t="shared" si="85"/>
        <v>12.346333333333332</v>
      </c>
      <c r="H1080" s="4">
        <f t="shared" si="85"/>
        <v>13.247266666666667</v>
      </c>
      <c r="I1080" s="8">
        <f t="shared" si="85"/>
        <v>12.207133333333333</v>
      </c>
      <c r="J1080" s="4">
        <f t="shared" si="85"/>
        <v>12.128774999999999</v>
      </c>
      <c r="K1080" s="7"/>
      <c r="L1080" s="5">
        <f t="shared" ref="L1080:Q1080" si="86">SUM(L521:L532)</f>
        <v>336.06969999999995</v>
      </c>
      <c r="M1080" s="5">
        <f t="shared" si="86"/>
        <v>142.0401</v>
      </c>
      <c r="N1080" s="5">
        <f t="shared" si="86"/>
        <v>58.217499999999994</v>
      </c>
      <c r="O1080" s="5">
        <f t="shared" si="86"/>
        <v>4.4104999999999999</v>
      </c>
      <c r="P1080" s="5">
        <f t="shared" si="86"/>
        <v>14.718800000000003</v>
      </c>
      <c r="Q1080" s="5">
        <f t="shared" si="86"/>
        <v>231.81149999999997</v>
      </c>
      <c r="R1080" s="5"/>
      <c r="S1080" s="6"/>
    </row>
    <row r="1081" spans="1:19" ht="15" customHeight="1">
      <c r="A1081" s="3">
        <f t="shared" si="44"/>
        <v>2059</v>
      </c>
      <c r="B1081" s="8">
        <f t="shared" ref="B1081:J1081" si="87">AVERAGE(B533:B544)</f>
        <v>13.076725000000001</v>
      </c>
      <c r="C1081" s="8">
        <f t="shared" si="87"/>
        <v>13.087166666666668</v>
      </c>
      <c r="D1081" s="8">
        <f t="shared" si="87"/>
        <v>13.083275</v>
      </c>
      <c r="E1081" s="8">
        <f t="shared" si="87"/>
        <v>13.083400000000003</v>
      </c>
      <c r="F1081" s="4">
        <f t="shared" si="87"/>
        <v>14.082241666666667</v>
      </c>
      <c r="G1081" s="8">
        <f t="shared" si="87"/>
        <v>12.749775</v>
      </c>
      <c r="H1081" s="4">
        <f t="shared" si="87"/>
        <v>13.650708333333332</v>
      </c>
      <c r="I1081" s="8">
        <f t="shared" si="87"/>
        <v>12.603925000000002</v>
      </c>
      <c r="J1081" s="4">
        <f t="shared" si="87"/>
        <v>12.525366666666665</v>
      </c>
      <c r="K1081" s="4"/>
      <c r="L1081" s="5">
        <f>SUM(L533:L544)</f>
        <v>336.06969999999995</v>
      </c>
      <c r="M1081" s="5">
        <f>SUM(M533:M544)</f>
        <v>142.0401</v>
      </c>
      <c r="N1081" s="5">
        <f>SUM(N533:N544)</f>
        <v>58.217499999999994</v>
      </c>
      <c r="O1081" s="5">
        <f>SUM(O522:O533)</f>
        <v>4.4104999999999999</v>
      </c>
      <c r="P1081" s="5">
        <f>SUM(P533:P544)</f>
        <v>14.718800000000003</v>
      </c>
      <c r="Q1081" s="5">
        <f>SUM(Q533:Q544)</f>
        <v>231.81149999999997</v>
      </c>
      <c r="R1081" s="5"/>
      <c r="S1081" s="4"/>
    </row>
    <row r="1082" spans="1:19" ht="15" customHeight="1">
      <c r="A1082" s="3">
        <f t="shared" si="44"/>
        <v>2060</v>
      </c>
      <c r="B1082" s="8">
        <f t="shared" ref="B1082:J1082" si="88">AVERAGE(B545:B556)</f>
        <v>13.504149999999997</v>
      </c>
      <c r="C1082" s="8">
        <f t="shared" si="88"/>
        <v>13.514608333333335</v>
      </c>
      <c r="D1082" s="8">
        <f t="shared" si="88"/>
        <v>13.510708333333332</v>
      </c>
      <c r="E1082" s="8">
        <f t="shared" si="88"/>
        <v>13.510833333333332</v>
      </c>
      <c r="F1082" s="4">
        <f t="shared" si="88"/>
        <v>14.509675000000001</v>
      </c>
      <c r="G1082" s="8">
        <f t="shared" si="88"/>
        <v>13.166449999999999</v>
      </c>
      <c r="H1082" s="4">
        <f t="shared" si="88"/>
        <v>14.067366666666665</v>
      </c>
      <c r="I1082" s="8">
        <f t="shared" si="88"/>
        <v>13.013708333333334</v>
      </c>
      <c r="J1082" s="4">
        <f t="shared" si="88"/>
        <v>12.934933333333335</v>
      </c>
      <c r="K1082" s="7"/>
      <c r="L1082" s="5">
        <f>SUM(L545:L556)</f>
        <v>336.95349999999996</v>
      </c>
      <c r="M1082" s="5">
        <f>SUM(M545:M556)</f>
        <v>142.42920000000001</v>
      </c>
      <c r="N1082" s="5">
        <f>SUM(N545:N556)</f>
        <v>58.377000000000002</v>
      </c>
      <c r="O1082" s="5">
        <f>SUM(O523:O534)</f>
        <v>4.4104999999999999</v>
      </c>
      <c r="P1082" s="5">
        <f>SUM(P545:P556)</f>
        <v>14.760600000000004</v>
      </c>
      <c r="Q1082" s="5">
        <f>SUM(Q545:Q556)</f>
        <v>232.44659999999996</v>
      </c>
      <c r="R1082" s="5"/>
      <c r="S1082" s="6"/>
    </row>
    <row r="1083" spans="1:19" ht="15" customHeight="1">
      <c r="A1083" s="3">
        <f t="shared" si="44"/>
        <v>2061</v>
      </c>
      <c r="B1083" s="8">
        <f t="shared" ref="B1083:J1083" si="89">AVERAGE(B557:B568)</f>
        <v>13.945566666666664</v>
      </c>
      <c r="C1083" s="8">
        <f t="shared" si="89"/>
        <v>13.956016666666669</v>
      </c>
      <c r="D1083" s="8">
        <f t="shared" si="89"/>
        <v>13.952125000000001</v>
      </c>
      <c r="E1083" s="8">
        <f t="shared" si="89"/>
        <v>13.952241666666666</v>
      </c>
      <c r="F1083" s="4">
        <f t="shared" si="89"/>
        <v>14.951083333333335</v>
      </c>
      <c r="G1083" s="8">
        <f t="shared" si="89"/>
        <v>13.596724999999999</v>
      </c>
      <c r="H1083" s="4">
        <f t="shared" si="89"/>
        <v>14.497658333333334</v>
      </c>
      <c r="I1083" s="8">
        <f t="shared" si="89"/>
        <v>13.436874999999999</v>
      </c>
      <c r="J1083" s="4">
        <f t="shared" si="89"/>
        <v>13.357891666666667</v>
      </c>
      <c r="K1083" s="7"/>
      <c r="L1083" s="5">
        <f>SUM(L557:L568)</f>
        <v>336.06969999999995</v>
      </c>
      <c r="M1083" s="5">
        <f>SUM(M557:M568)</f>
        <v>142.0401</v>
      </c>
      <c r="N1083" s="5">
        <f>SUM(N557:N568)</f>
        <v>58.217499999999994</v>
      </c>
      <c r="O1083" s="5">
        <f>SUM(O524:O535)</f>
        <v>4.4104999999999999</v>
      </c>
      <c r="P1083" s="5">
        <f>SUM(P557:P568)</f>
        <v>14.718800000000003</v>
      </c>
      <c r="Q1083" s="5">
        <f>SUM(Q557:Q568)</f>
        <v>231.81149999999997</v>
      </c>
      <c r="R1083" s="5"/>
      <c r="S1083" s="6"/>
    </row>
    <row r="1084" spans="1:19" ht="15" customHeight="1">
      <c r="A1084" s="3">
        <f t="shared" si="44"/>
        <v>2062</v>
      </c>
      <c r="B1084" s="4">
        <f t="shared" ref="B1084:J1093" ca="1" si="90">AVERAGE(OFFSET(B$569,($A1084-$A$1084)*12,0,12,1))</f>
        <v>14.40143333333333</v>
      </c>
      <c r="C1084" s="4">
        <f t="shared" ca="1" si="90"/>
        <v>14.411858333333333</v>
      </c>
      <c r="D1084" s="4">
        <f t="shared" ca="1" si="90"/>
        <v>14.407983333333336</v>
      </c>
      <c r="E1084" s="4">
        <f t="shared" ca="1" si="90"/>
        <v>14.408108333333333</v>
      </c>
      <c r="F1084" s="4">
        <f t="shared" ca="1" si="90"/>
        <v>15.406933333333333</v>
      </c>
      <c r="G1084" s="4">
        <f t="shared" ca="1" si="90"/>
        <v>14.041074999999999</v>
      </c>
      <c r="H1084" s="4">
        <f t="shared" ca="1" si="90"/>
        <v>14.942</v>
      </c>
      <c r="I1084" s="4">
        <f t="shared" ca="1" si="90"/>
        <v>13.873908333333333</v>
      </c>
      <c r="J1084" s="4">
        <f t="shared" ca="1" si="90"/>
        <v>13.794699999999999</v>
      </c>
      <c r="K1084" s="4"/>
      <c r="L1084" s="5">
        <f t="shared" ref="L1084:Q1093" ca="1" si="91">SUM(OFFSET(L$569,($A1084-$A$1084)*12,0,12,1))</f>
        <v>336.06969999999995</v>
      </c>
      <c r="M1084" s="5">
        <f t="shared" ca="1" si="91"/>
        <v>142.0401</v>
      </c>
      <c r="N1084" s="5">
        <f t="shared" ca="1" si="91"/>
        <v>58.217499999999994</v>
      </c>
      <c r="O1084" s="5">
        <f t="shared" ca="1" si="91"/>
        <v>4.4104999999999999</v>
      </c>
      <c r="P1084" s="5">
        <f t="shared" ca="1" si="91"/>
        <v>14.718800000000003</v>
      </c>
      <c r="Q1084" s="5">
        <f t="shared" ca="1" si="91"/>
        <v>231.81149999999997</v>
      </c>
      <c r="R1084" s="4"/>
      <c r="S1084" s="4"/>
    </row>
    <row r="1085" spans="1:19" ht="15" customHeight="1">
      <c r="A1085" s="3">
        <f t="shared" si="44"/>
        <v>2063</v>
      </c>
      <c r="B1085" s="4">
        <f t="shared" ca="1" si="90"/>
        <v>14.872199999999999</v>
      </c>
      <c r="C1085" s="4">
        <f t="shared" ca="1" si="90"/>
        <v>14.882624999999997</v>
      </c>
      <c r="D1085" s="4">
        <f t="shared" ca="1" si="90"/>
        <v>14.878733333333336</v>
      </c>
      <c r="E1085" s="4">
        <f t="shared" ca="1" si="90"/>
        <v>14.878858333333332</v>
      </c>
      <c r="F1085" s="4">
        <f t="shared" ca="1" si="90"/>
        <v>15.877699999999999</v>
      </c>
      <c r="G1085" s="4">
        <f t="shared" ca="1" si="90"/>
        <v>14.49995</v>
      </c>
      <c r="H1085" s="4">
        <f t="shared" ca="1" si="90"/>
        <v>15.400891666666666</v>
      </c>
      <c r="I1085" s="4">
        <f t="shared" ca="1" si="90"/>
        <v>14.325200000000001</v>
      </c>
      <c r="J1085" s="4">
        <f t="shared" ca="1" si="90"/>
        <v>14.24578333333333</v>
      </c>
      <c r="K1085" s="4"/>
      <c r="L1085" s="5">
        <f t="shared" ca="1" si="91"/>
        <v>336.06969999999995</v>
      </c>
      <c r="M1085" s="5">
        <f t="shared" ca="1" si="91"/>
        <v>142.0401</v>
      </c>
      <c r="N1085" s="5">
        <f t="shared" ca="1" si="91"/>
        <v>58.217499999999994</v>
      </c>
      <c r="O1085" s="5">
        <f t="shared" ca="1" si="91"/>
        <v>4.4104999999999999</v>
      </c>
      <c r="P1085" s="5">
        <f t="shared" ca="1" si="91"/>
        <v>14.718800000000003</v>
      </c>
      <c r="Q1085" s="5">
        <f t="shared" ca="1" si="91"/>
        <v>231.81149999999997</v>
      </c>
      <c r="R1085" s="4"/>
      <c r="S1085" s="4"/>
    </row>
    <row r="1086" spans="1:19" ht="15" customHeight="1">
      <c r="A1086" s="3">
        <f t="shared" si="44"/>
        <v>2064</v>
      </c>
      <c r="B1086" s="4">
        <f t="shared" ca="1" si="90"/>
        <v>15.358341666666666</v>
      </c>
      <c r="C1086" s="4">
        <f t="shared" ca="1" si="90"/>
        <v>15.368791666666667</v>
      </c>
      <c r="D1086" s="4">
        <f t="shared" ca="1" si="90"/>
        <v>15.364900000000006</v>
      </c>
      <c r="E1086" s="4">
        <f t="shared" ca="1" si="90"/>
        <v>15.365033333333331</v>
      </c>
      <c r="F1086" s="4">
        <f t="shared" ca="1" si="90"/>
        <v>16.363858333333329</v>
      </c>
      <c r="G1086" s="4">
        <f t="shared" ca="1" si="90"/>
        <v>14.973858333333332</v>
      </c>
      <c r="H1086" s="4">
        <f t="shared" ca="1" si="90"/>
        <v>15.874799999999999</v>
      </c>
      <c r="I1086" s="4">
        <f t="shared" ca="1" si="90"/>
        <v>14.791266666666667</v>
      </c>
      <c r="J1086" s="4">
        <f t="shared" ca="1" si="90"/>
        <v>14.711608333333331</v>
      </c>
      <c r="K1086" s="4"/>
      <c r="L1086" s="5">
        <f t="shared" ca="1" si="91"/>
        <v>336.95349999999996</v>
      </c>
      <c r="M1086" s="5">
        <f t="shared" ca="1" si="91"/>
        <v>142.42920000000001</v>
      </c>
      <c r="N1086" s="5">
        <f t="shared" ca="1" si="91"/>
        <v>58.377000000000002</v>
      </c>
      <c r="O1086" s="5">
        <f t="shared" ca="1" si="91"/>
        <v>4.4226000000000001</v>
      </c>
      <c r="P1086" s="5">
        <f t="shared" ca="1" si="91"/>
        <v>14.760600000000004</v>
      </c>
      <c r="Q1086" s="5">
        <f t="shared" ca="1" si="91"/>
        <v>232.44659999999996</v>
      </c>
      <c r="R1086" s="4"/>
      <c r="S1086" s="4"/>
    </row>
    <row r="1087" spans="1:19" ht="15" customHeight="1">
      <c r="A1087" s="3">
        <f t="shared" si="44"/>
        <v>2065</v>
      </c>
      <c r="B1087" s="4">
        <f t="shared" ca="1" si="90"/>
        <v>15.860399999999998</v>
      </c>
      <c r="C1087" s="4">
        <f t="shared" ca="1" si="90"/>
        <v>15.870841666666669</v>
      </c>
      <c r="D1087" s="4">
        <f t="shared" ca="1" si="90"/>
        <v>15.866966666666665</v>
      </c>
      <c r="E1087" s="4">
        <f t="shared" ca="1" si="90"/>
        <v>15.867075</v>
      </c>
      <c r="F1087" s="4">
        <f t="shared" ca="1" si="90"/>
        <v>16.865925000000001</v>
      </c>
      <c r="G1087" s="4">
        <f t="shared" ca="1" si="90"/>
        <v>15.463225</v>
      </c>
      <c r="H1087" s="4">
        <f t="shared" ca="1" si="90"/>
        <v>16.364166666666666</v>
      </c>
      <c r="I1087" s="4">
        <f t="shared" ca="1" si="90"/>
        <v>15.272591666666669</v>
      </c>
      <c r="J1087" s="4">
        <f t="shared" ca="1" si="90"/>
        <v>15.192675000000001</v>
      </c>
      <c r="K1087" s="4"/>
      <c r="L1087" s="5">
        <f t="shared" ca="1" si="91"/>
        <v>336.06969999999995</v>
      </c>
      <c r="M1087" s="5">
        <f t="shared" ca="1" si="91"/>
        <v>142.0401</v>
      </c>
      <c r="N1087" s="5">
        <f t="shared" ca="1" si="91"/>
        <v>58.217499999999994</v>
      </c>
      <c r="O1087" s="5">
        <f t="shared" ca="1" si="91"/>
        <v>4.4104999999999999</v>
      </c>
      <c r="P1087" s="5">
        <f t="shared" ca="1" si="91"/>
        <v>14.718800000000003</v>
      </c>
      <c r="Q1087" s="5">
        <f t="shared" ca="1" si="91"/>
        <v>231.81149999999997</v>
      </c>
      <c r="R1087" s="4"/>
      <c r="S1087" s="4"/>
    </row>
    <row r="1088" spans="1:19" ht="15" customHeight="1">
      <c r="A1088" s="3">
        <f t="shared" si="44"/>
        <v>2066</v>
      </c>
      <c r="B1088" s="4">
        <f t="shared" ca="1" si="90"/>
        <v>16.378891666666664</v>
      </c>
      <c r="C1088" s="4">
        <f t="shared" ca="1" si="90"/>
        <v>16.389291666666669</v>
      </c>
      <c r="D1088" s="4">
        <f t="shared" ca="1" si="90"/>
        <v>16.385425000000001</v>
      </c>
      <c r="E1088" s="4">
        <f t="shared" ca="1" si="90"/>
        <v>16.385541666666665</v>
      </c>
      <c r="F1088" s="4">
        <f t="shared" ca="1" si="90"/>
        <v>17.384391666666669</v>
      </c>
      <c r="G1088" s="4">
        <f t="shared" ca="1" si="90"/>
        <v>15.968633333333335</v>
      </c>
      <c r="H1088" s="4">
        <f t="shared" ca="1" si="90"/>
        <v>16.869549999999997</v>
      </c>
      <c r="I1088" s="4">
        <f t="shared" ca="1" si="90"/>
        <v>15.769625</v>
      </c>
      <c r="J1088" s="4">
        <f t="shared" ca="1" si="90"/>
        <v>15.689475</v>
      </c>
      <c r="K1088" s="4"/>
      <c r="L1088" s="5">
        <f t="shared" ca="1" si="91"/>
        <v>336.06969999999995</v>
      </c>
      <c r="M1088" s="5">
        <f t="shared" ca="1" si="91"/>
        <v>142.0401</v>
      </c>
      <c r="N1088" s="5">
        <f t="shared" ca="1" si="91"/>
        <v>58.217499999999994</v>
      </c>
      <c r="O1088" s="5">
        <f t="shared" ca="1" si="91"/>
        <v>4.4104999999999999</v>
      </c>
      <c r="P1088" s="5">
        <f t="shared" ca="1" si="91"/>
        <v>14.718800000000003</v>
      </c>
      <c r="Q1088" s="5">
        <f t="shared" ca="1" si="91"/>
        <v>231.81149999999997</v>
      </c>
      <c r="R1088" s="4"/>
      <c r="S1088" s="4"/>
    </row>
    <row r="1089" spans="1:19" ht="15" customHeight="1">
      <c r="A1089" s="3">
        <f t="shared" si="44"/>
        <v>2067</v>
      </c>
      <c r="B1089" s="4">
        <f t="shared" ca="1" si="90"/>
        <v>16.914308333333334</v>
      </c>
      <c r="C1089" s="4">
        <f t="shared" ca="1" si="90"/>
        <v>16.924741666666666</v>
      </c>
      <c r="D1089" s="4">
        <f t="shared" ca="1" si="90"/>
        <v>16.920866666666665</v>
      </c>
      <c r="E1089" s="4">
        <f t="shared" ca="1" si="90"/>
        <v>16.920983333333332</v>
      </c>
      <c r="F1089" s="4">
        <f t="shared" ca="1" si="90"/>
        <v>17.919824999999999</v>
      </c>
      <c r="G1089" s="4">
        <f t="shared" ca="1" si="90"/>
        <v>16.490541666666665</v>
      </c>
      <c r="H1089" s="4">
        <f t="shared" ca="1" si="90"/>
        <v>17.39148333333333</v>
      </c>
      <c r="I1089" s="4">
        <f t="shared" ca="1" si="90"/>
        <v>16.282933333333336</v>
      </c>
      <c r="J1089" s="4">
        <f t="shared" ca="1" si="90"/>
        <v>16.202541666666669</v>
      </c>
      <c r="K1089" s="4"/>
      <c r="L1089" s="5">
        <f t="shared" ca="1" si="91"/>
        <v>336.06969999999995</v>
      </c>
      <c r="M1089" s="5">
        <f t="shared" ca="1" si="91"/>
        <v>142.0401</v>
      </c>
      <c r="N1089" s="5">
        <f t="shared" ca="1" si="91"/>
        <v>58.217499999999994</v>
      </c>
      <c r="O1089" s="5">
        <f t="shared" ca="1" si="91"/>
        <v>4.4104999999999999</v>
      </c>
      <c r="P1089" s="5">
        <f t="shared" ca="1" si="91"/>
        <v>14.718800000000003</v>
      </c>
      <c r="Q1089" s="5">
        <f t="shared" ca="1" si="91"/>
        <v>231.81149999999997</v>
      </c>
      <c r="R1089" s="4"/>
      <c r="S1089" s="4"/>
    </row>
    <row r="1090" spans="1:19" ht="15" customHeight="1">
      <c r="A1090" s="3">
        <f t="shared" si="44"/>
        <v>2068</v>
      </c>
      <c r="B1090" s="4">
        <f t="shared" ca="1" si="90"/>
        <v>17.467258333333334</v>
      </c>
      <c r="C1090" s="4">
        <f t="shared" ca="1" si="90"/>
        <v>17.477683333333335</v>
      </c>
      <c r="D1090" s="4">
        <f t="shared" ca="1" si="90"/>
        <v>17.473791666666667</v>
      </c>
      <c r="E1090" s="4">
        <f t="shared" ca="1" si="90"/>
        <v>17.473916666666671</v>
      </c>
      <c r="F1090" s="4">
        <f t="shared" ca="1" si="90"/>
        <v>18.472749999999998</v>
      </c>
      <c r="G1090" s="4">
        <f t="shared" ca="1" si="90"/>
        <v>17.02955833333333</v>
      </c>
      <c r="H1090" s="4">
        <f t="shared" ca="1" si="90"/>
        <v>17.930466666666671</v>
      </c>
      <c r="I1090" s="4">
        <f t="shared" ca="1" si="90"/>
        <v>16.813041666666667</v>
      </c>
      <c r="J1090" s="4">
        <f t="shared" ca="1" si="90"/>
        <v>16.73235</v>
      </c>
      <c r="K1090" s="4"/>
      <c r="L1090" s="5">
        <f t="shared" ca="1" si="91"/>
        <v>336.95349999999996</v>
      </c>
      <c r="M1090" s="5">
        <f t="shared" ca="1" si="91"/>
        <v>142.42920000000001</v>
      </c>
      <c r="N1090" s="5">
        <f t="shared" ca="1" si="91"/>
        <v>58.377000000000002</v>
      </c>
      <c r="O1090" s="5">
        <f t="shared" ca="1" si="91"/>
        <v>4.4226000000000001</v>
      </c>
      <c r="P1090" s="5">
        <f t="shared" ca="1" si="91"/>
        <v>14.760600000000004</v>
      </c>
      <c r="Q1090" s="5">
        <f t="shared" ca="1" si="91"/>
        <v>232.44659999999996</v>
      </c>
      <c r="R1090" s="4"/>
      <c r="S1090" s="4"/>
    </row>
    <row r="1091" spans="1:19" ht="15" customHeight="1">
      <c r="A1091" s="3">
        <f t="shared" si="44"/>
        <v>2069</v>
      </c>
      <c r="B1091" s="4">
        <f t="shared" ca="1" si="90"/>
        <v>18.038274999999999</v>
      </c>
      <c r="C1091" s="4">
        <f t="shared" ca="1" si="90"/>
        <v>18.0487</v>
      </c>
      <c r="D1091" s="4">
        <f t="shared" ca="1" si="90"/>
        <v>18.044816666666666</v>
      </c>
      <c r="E1091" s="4">
        <f t="shared" ca="1" si="90"/>
        <v>18.044949999999996</v>
      </c>
      <c r="F1091" s="4">
        <f t="shared" ca="1" si="90"/>
        <v>19.043783333333334</v>
      </c>
      <c r="G1091" s="4">
        <f t="shared" ca="1" si="90"/>
        <v>17.586141666666666</v>
      </c>
      <c r="H1091" s="4">
        <f t="shared" ca="1" si="90"/>
        <v>18.487075000000001</v>
      </c>
      <c r="I1091" s="4">
        <f t="shared" ca="1" si="90"/>
        <v>17.360466666666664</v>
      </c>
      <c r="J1091" s="4">
        <f t="shared" ca="1" si="90"/>
        <v>17.27951666666667</v>
      </c>
      <c r="K1091" s="4"/>
      <c r="L1091" s="5">
        <f t="shared" ca="1" si="91"/>
        <v>336.06969999999995</v>
      </c>
      <c r="M1091" s="5">
        <f t="shared" ca="1" si="91"/>
        <v>142.0401</v>
      </c>
      <c r="N1091" s="5">
        <f t="shared" ca="1" si="91"/>
        <v>58.217499999999994</v>
      </c>
      <c r="O1091" s="5">
        <f t="shared" ca="1" si="91"/>
        <v>4.4104999999999999</v>
      </c>
      <c r="P1091" s="5">
        <f t="shared" ca="1" si="91"/>
        <v>14.718800000000003</v>
      </c>
      <c r="Q1091" s="5">
        <f t="shared" ca="1" si="91"/>
        <v>231.81149999999997</v>
      </c>
      <c r="R1091" s="4"/>
      <c r="S1091" s="4"/>
    </row>
    <row r="1092" spans="1:19" ht="15" customHeight="1">
      <c r="A1092" s="3">
        <f t="shared" ref="A1092:A1122" si="92">A1091+1</f>
        <v>2070</v>
      </c>
      <c r="B1092" s="4">
        <f t="shared" ca="1" si="90"/>
        <v>18.627958333333329</v>
      </c>
      <c r="C1092" s="4">
        <f t="shared" ca="1" si="90"/>
        <v>18.638400000000001</v>
      </c>
      <c r="D1092" s="4">
        <f t="shared" ca="1" si="90"/>
        <v>18.634533333333334</v>
      </c>
      <c r="E1092" s="4">
        <f t="shared" ca="1" si="90"/>
        <v>18.634641666666663</v>
      </c>
      <c r="F1092" s="4">
        <f t="shared" ca="1" si="90"/>
        <v>19.633491666666668</v>
      </c>
      <c r="G1092" s="4">
        <f t="shared" ca="1" si="90"/>
        <v>18.160983333333331</v>
      </c>
      <c r="H1092" s="4">
        <f t="shared" ca="1" si="90"/>
        <v>19.061916666666665</v>
      </c>
      <c r="I1092" s="4">
        <f t="shared" ca="1" si="90"/>
        <v>17.925783333333332</v>
      </c>
      <c r="J1092" s="4">
        <f t="shared" ca="1" si="90"/>
        <v>17.844566666666665</v>
      </c>
      <c r="K1092" s="4"/>
      <c r="L1092" s="5">
        <f t="shared" ca="1" si="91"/>
        <v>336.06969999999995</v>
      </c>
      <c r="M1092" s="5">
        <f t="shared" ca="1" si="91"/>
        <v>142.0401</v>
      </c>
      <c r="N1092" s="5">
        <f t="shared" ca="1" si="91"/>
        <v>58.217499999999994</v>
      </c>
      <c r="O1092" s="5">
        <f t="shared" ca="1" si="91"/>
        <v>4.4104999999999999</v>
      </c>
      <c r="P1092" s="5">
        <f t="shared" ca="1" si="91"/>
        <v>14.718800000000003</v>
      </c>
      <c r="Q1092" s="5">
        <f t="shared" ca="1" si="91"/>
        <v>231.81149999999997</v>
      </c>
      <c r="R1092" s="4"/>
      <c r="S1092" s="4"/>
    </row>
    <row r="1093" spans="1:19" ht="15" customHeight="1">
      <c r="A1093" s="3">
        <f t="shared" si="92"/>
        <v>2071</v>
      </c>
      <c r="B1093" s="4">
        <f t="shared" ca="1" si="90"/>
        <v>19.23695</v>
      </c>
      <c r="C1093" s="4">
        <f t="shared" ca="1" si="90"/>
        <v>19.247383333333335</v>
      </c>
      <c r="D1093" s="4">
        <f t="shared" ca="1" si="90"/>
        <v>19.243500000000001</v>
      </c>
      <c r="E1093" s="4">
        <f t="shared" ca="1" si="90"/>
        <v>19.243624999999998</v>
      </c>
      <c r="F1093" s="4">
        <f t="shared" ca="1" si="90"/>
        <v>20.242475000000002</v>
      </c>
      <c r="G1093" s="4">
        <f t="shared" ca="1" si="90"/>
        <v>18.754599999999996</v>
      </c>
      <c r="H1093" s="4">
        <f t="shared" ca="1" si="90"/>
        <v>19.655533333333334</v>
      </c>
      <c r="I1093" s="4">
        <f t="shared" ca="1" si="90"/>
        <v>18.509616666666666</v>
      </c>
      <c r="J1093" s="4">
        <f t="shared" ca="1" si="90"/>
        <v>18.428108333333331</v>
      </c>
      <c r="K1093" s="4"/>
      <c r="L1093" s="5">
        <f t="shared" ca="1" si="91"/>
        <v>336.06969999999995</v>
      </c>
      <c r="M1093" s="5">
        <f t="shared" ca="1" si="91"/>
        <v>142.0401</v>
      </c>
      <c r="N1093" s="5">
        <f t="shared" ca="1" si="91"/>
        <v>58.217499999999994</v>
      </c>
      <c r="O1093" s="5">
        <f t="shared" ca="1" si="91"/>
        <v>4.4104999999999999</v>
      </c>
      <c r="P1093" s="5">
        <f t="shared" ca="1" si="91"/>
        <v>14.718800000000003</v>
      </c>
      <c r="Q1093" s="5">
        <f t="shared" ca="1" si="91"/>
        <v>231.81149999999997</v>
      </c>
      <c r="R1093" s="4"/>
      <c r="S1093" s="4"/>
    </row>
    <row r="1094" spans="1:19" ht="15" customHeight="1">
      <c r="A1094" s="3">
        <f t="shared" si="92"/>
        <v>2072</v>
      </c>
      <c r="B1094" s="4">
        <f t="shared" ref="B1094:J1103" ca="1" si="93">AVERAGE(OFFSET(B$569,($A1094-$A$1084)*12,0,12,1))</f>
        <v>19.865841666666665</v>
      </c>
      <c r="C1094" s="4">
        <f t="shared" ca="1" si="93"/>
        <v>19.876300000000001</v>
      </c>
      <c r="D1094" s="4">
        <f t="shared" ca="1" si="93"/>
        <v>19.872400000000003</v>
      </c>
      <c r="E1094" s="4">
        <f t="shared" ca="1" si="93"/>
        <v>19.872516666666666</v>
      </c>
      <c r="F1094" s="4">
        <f t="shared" ca="1" si="93"/>
        <v>20.871358333333337</v>
      </c>
      <c r="G1094" s="4">
        <f t="shared" ca="1" si="93"/>
        <v>19.36763333333333</v>
      </c>
      <c r="H1094" s="4">
        <f t="shared" ca="1" si="93"/>
        <v>20.268558333333335</v>
      </c>
      <c r="I1094" s="4">
        <f t="shared" ca="1" si="93"/>
        <v>19.112525000000002</v>
      </c>
      <c r="J1094" s="4">
        <f t="shared" ca="1" si="93"/>
        <v>19.030708333333333</v>
      </c>
      <c r="K1094" s="4"/>
      <c r="L1094" s="5">
        <f t="shared" ref="L1094:Q1103" ca="1" si="94">SUM(OFFSET(L$569,($A1094-$A$1084)*12,0,12,1))</f>
        <v>336.95349999999996</v>
      </c>
      <c r="M1094" s="5">
        <f t="shared" ca="1" si="94"/>
        <v>142.42920000000001</v>
      </c>
      <c r="N1094" s="5">
        <f t="shared" ca="1" si="94"/>
        <v>58.377000000000002</v>
      </c>
      <c r="O1094" s="5">
        <f t="shared" ca="1" si="94"/>
        <v>4.4226000000000001</v>
      </c>
      <c r="P1094" s="5">
        <f t="shared" ca="1" si="94"/>
        <v>14.760600000000004</v>
      </c>
      <c r="Q1094" s="5">
        <f t="shared" ca="1" si="94"/>
        <v>232.44659999999996</v>
      </c>
      <c r="R1094" s="4"/>
      <c r="S1094" s="4"/>
    </row>
    <row r="1095" spans="1:19" ht="15" customHeight="1">
      <c r="A1095" s="3">
        <f t="shared" si="92"/>
        <v>2073</v>
      </c>
      <c r="B1095" s="4">
        <f t="shared" ca="1" si="93"/>
        <v>20.515316666666667</v>
      </c>
      <c r="C1095" s="4">
        <f t="shared" ca="1" si="93"/>
        <v>20.525741666666665</v>
      </c>
      <c r="D1095" s="4">
        <f t="shared" ca="1" si="93"/>
        <v>20.521858333333331</v>
      </c>
      <c r="E1095" s="4">
        <f t="shared" ca="1" si="93"/>
        <v>20.521983333333331</v>
      </c>
      <c r="F1095" s="4">
        <f t="shared" ca="1" si="93"/>
        <v>21.520824999999999</v>
      </c>
      <c r="G1095" s="4">
        <f t="shared" ca="1" si="93"/>
        <v>20.000699999999998</v>
      </c>
      <c r="H1095" s="4">
        <f t="shared" ca="1" si="93"/>
        <v>20.901633333333333</v>
      </c>
      <c r="I1095" s="4">
        <f t="shared" ca="1" si="93"/>
        <v>19.735141666666667</v>
      </c>
      <c r="J1095" s="4">
        <f t="shared" ca="1" si="93"/>
        <v>19.653025000000003</v>
      </c>
      <c r="K1095" s="4"/>
      <c r="L1095" s="5">
        <f t="shared" ca="1" si="94"/>
        <v>336.06969999999995</v>
      </c>
      <c r="M1095" s="5">
        <f t="shared" ca="1" si="94"/>
        <v>142.0401</v>
      </c>
      <c r="N1095" s="5">
        <f t="shared" ca="1" si="94"/>
        <v>58.217499999999994</v>
      </c>
      <c r="O1095" s="5">
        <f t="shared" ca="1" si="94"/>
        <v>4.4104999999999999</v>
      </c>
      <c r="P1095" s="5">
        <f t="shared" ca="1" si="94"/>
        <v>14.718800000000003</v>
      </c>
      <c r="Q1095" s="5">
        <f t="shared" ca="1" si="94"/>
        <v>231.81149999999997</v>
      </c>
      <c r="R1095" s="4"/>
      <c r="S1095" s="4"/>
    </row>
    <row r="1096" spans="1:19" ht="15" customHeight="1">
      <c r="A1096" s="3">
        <f t="shared" si="92"/>
        <v>2074</v>
      </c>
      <c r="B1096" s="4">
        <f t="shared" ca="1" si="93"/>
        <v>21.186025000000001</v>
      </c>
      <c r="C1096" s="4">
        <f t="shared" ca="1" si="93"/>
        <v>21.196458333333336</v>
      </c>
      <c r="D1096" s="4">
        <f t="shared" ca="1" si="93"/>
        <v>21.192575000000001</v>
      </c>
      <c r="E1096" s="4">
        <f t="shared" ca="1" si="93"/>
        <v>21.192691666666668</v>
      </c>
      <c r="F1096" s="4">
        <f t="shared" ca="1" si="93"/>
        <v>22.191541666666666</v>
      </c>
      <c r="G1096" s="4">
        <f t="shared" ca="1" si="93"/>
        <v>20.654499999999999</v>
      </c>
      <c r="H1096" s="4">
        <f t="shared" ca="1" si="93"/>
        <v>21.555433333333337</v>
      </c>
      <c r="I1096" s="4">
        <f t="shared" ca="1" si="93"/>
        <v>20.378158333333332</v>
      </c>
      <c r="J1096" s="4">
        <f t="shared" ca="1" si="93"/>
        <v>20.2957</v>
      </c>
      <c r="K1096" s="4"/>
      <c r="L1096" s="5">
        <f t="shared" ca="1" si="94"/>
        <v>336.06969999999995</v>
      </c>
      <c r="M1096" s="5">
        <f t="shared" ca="1" si="94"/>
        <v>142.0401</v>
      </c>
      <c r="N1096" s="5">
        <f t="shared" ca="1" si="94"/>
        <v>58.217499999999994</v>
      </c>
      <c r="O1096" s="5">
        <f t="shared" ca="1" si="94"/>
        <v>4.4104999999999999</v>
      </c>
      <c r="P1096" s="5">
        <f t="shared" ca="1" si="94"/>
        <v>14.718800000000003</v>
      </c>
      <c r="Q1096" s="5">
        <f t="shared" ca="1" si="94"/>
        <v>231.81149999999997</v>
      </c>
      <c r="R1096" s="4"/>
      <c r="S1096" s="4"/>
    </row>
    <row r="1097" spans="1:19" ht="15" customHeight="1">
      <c r="A1097" s="3">
        <f t="shared" si="92"/>
        <v>2075</v>
      </c>
      <c r="B1097" s="4">
        <f t="shared" ca="1" si="93"/>
        <v>21.878658333333334</v>
      </c>
      <c r="C1097" s="4">
        <f t="shared" ca="1" si="93"/>
        <v>21.889116666666666</v>
      </c>
      <c r="D1097" s="4">
        <f t="shared" ca="1" si="93"/>
        <v>21.885216666666665</v>
      </c>
      <c r="E1097" s="4">
        <f t="shared" ca="1" si="93"/>
        <v>21.885341666666672</v>
      </c>
      <c r="F1097" s="4">
        <f t="shared" ca="1" si="93"/>
        <v>22.884191666666666</v>
      </c>
      <c r="G1097" s="4">
        <f t="shared" ca="1" si="93"/>
        <v>21.329658333333334</v>
      </c>
      <c r="H1097" s="4">
        <f t="shared" ca="1" si="93"/>
        <v>22.230599999999999</v>
      </c>
      <c r="I1097" s="4">
        <f t="shared" ca="1" si="93"/>
        <v>21.042166666666667</v>
      </c>
      <c r="J1097" s="4">
        <f t="shared" ca="1" si="93"/>
        <v>20.959383333333331</v>
      </c>
      <c r="K1097" s="4"/>
      <c r="L1097" s="5">
        <f t="shared" ca="1" si="94"/>
        <v>336.06969999999995</v>
      </c>
      <c r="M1097" s="5">
        <f t="shared" ca="1" si="94"/>
        <v>142.0401</v>
      </c>
      <c r="N1097" s="5">
        <f t="shared" ca="1" si="94"/>
        <v>58.217499999999994</v>
      </c>
      <c r="O1097" s="5">
        <f t="shared" ca="1" si="94"/>
        <v>4.4104999999999999</v>
      </c>
      <c r="P1097" s="5">
        <f t="shared" ca="1" si="94"/>
        <v>14.718800000000003</v>
      </c>
      <c r="Q1097" s="5">
        <f t="shared" ca="1" si="94"/>
        <v>231.81149999999997</v>
      </c>
      <c r="R1097" s="4"/>
      <c r="S1097" s="4"/>
    </row>
    <row r="1098" spans="1:19" ht="15" customHeight="1">
      <c r="A1098" s="3">
        <f t="shared" si="92"/>
        <v>2076</v>
      </c>
      <c r="B1098" s="4">
        <f t="shared" ca="1" si="93"/>
        <v>22.593958333333333</v>
      </c>
      <c r="C1098" s="4">
        <f t="shared" ca="1" si="93"/>
        <v>22.604400000000002</v>
      </c>
      <c r="D1098" s="4">
        <f t="shared" ca="1" si="93"/>
        <v>22.600508333333334</v>
      </c>
      <c r="E1098" s="4">
        <f t="shared" ca="1" si="93"/>
        <v>22.600633333333334</v>
      </c>
      <c r="F1098" s="4">
        <f t="shared" ca="1" si="93"/>
        <v>23.599458333333335</v>
      </c>
      <c r="G1098" s="4">
        <f t="shared" ca="1" si="93"/>
        <v>22.026908333333335</v>
      </c>
      <c r="H1098" s="4">
        <f t="shared" ca="1" si="93"/>
        <v>22.927850000000003</v>
      </c>
      <c r="I1098" s="4">
        <f t="shared" ca="1" si="93"/>
        <v>21.727908333333335</v>
      </c>
      <c r="J1098" s="4">
        <f t="shared" ca="1" si="93"/>
        <v>21.644791666666666</v>
      </c>
      <c r="K1098" s="4"/>
      <c r="L1098" s="5">
        <f t="shared" ca="1" si="94"/>
        <v>336.95349999999996</v>
      </c>
      <c r="M1098" s="5">
        <f t="shared" ca="1" si="94"/>
        <v>142.42920000000001</v>
      </c>
      <c r="N1098" s="5">
        <f t="shared" ca="1" si="94"/>
        <v>58.377000000000002</v>
      </c>
      <c r="O1098" s="5">
        <f t="shared" ca="1" si="94"/>
        <v>4.4226000000000001</v>
      </c>
      <c r="P1098" s="5">
        <f t="shared" ca="1" si="94"/>
        <v>14.760600000000004</v>
      </c>
      <c r="Q1098" s="5">
        <f t="shared" ca="1" si="94"/>
        <v>232.44659999999996</v>
      </c>
      <c r="R1098" s="4"/>
      <c r="S1098" s="4"/>
    </row>
    <row r="1099" spans="1:19" ht="15" customHeight="1">
      <c r="A1099" s="3">
        <f t="shared" si="92"/>
        <v>2077</v>
      </c>
      <c r="B1099" s="4">
        <f t="shared" ca="1" si="93"/>
        <v>23.332649999999997</v>
      </c>
      <c r="C1099" s="4">
        <f t="shared" ca="1" si="93"/>
        <v>23.343074999999999</v>
      </c>
      <c r="D1099" s="4">
        <f t="shared" ca="1" si="93"/>
        <v>23.339200000000002</v>
      </c>
      <c r="E1099" s="4">
        <f t="shared" ca="1" si="93"/>
        <v>23.339316666666665</v>
      </c>
      <c r="F1099" s="4">
        <f t="shared" ca="1" si="93"/>
        <v>24.338175000000003</v>
      </c>
      <c r="G1099" s="4">
        <f t="shared" ca="1" si="93"/>
        <v>22.746958333333335</v>
      </c>
      <c r="H1099" s="4">
        <f t="shared" ca="1" si="93"/>
        <v>23.647900000000003</v>
      </c>
      <c r="I1099" s="4">
        <f t="shared" ca="1" si="93"/>
        <v>22.436049999999998</v>
      </c>
      <c r="J1099" s="4">
        <f t="shared" ca="1" si="93"/>
        <v>22.352591666666669</v>
      </c>
      <c r="K1099" s="4"/>
      <c r="L1099" s="5">
        <f t="shared" ca="1" si="94"/>
        <v>336.06969999999995</v>
      </c>
      <c r="M1099" s="5">
        <f t="shared" ca="1" si="94"/>
        <v>142.0401</v>
      </c>
      <c r="N1099" s="5">
        <f t="shared" ca="1" si="94"/>
        <v>58.217499999999994</v>
      </c>
      <c r="O1099" s="5">
        <f t="shared" ca="1" si="94"/>
        <v>4.4104999999999999</v>
      </c>
      <c r="P1099" s="5">
        <f t="shared" ca="1" si="94"/>
        <v>14.718800000000003</v>
      </c>
      <c r="Q1099" s="5">
        <f t="shared" ca="1" si="94"/>
        <v>231.81149999999997</v>
      </c>
      <c r="R1099" s="4"/>
      <c r="S1099" s="4"/>
    </row>
    <row r="1100" spans="1:19" ht="15" customHeight="1">
      <c r="A1100" s="3">
        <f t="shared" si="92"/>
        <v>2078</v>
      </c>
      <c r="B1100" s="4">
        <f t="shared" ca="1" si="93"/>
        <v>24.095483333333334</v>
      </c>
      <c r="C1100" s="4">
        <f t="shared" ca="1" si="93"/>
        <v>24.105933333333329</v>
      </c>
      <c r="D1100" s="4">
        <f t="shared" ca="1" si="93"/>
        <v>24.102049999999995</v>
      </c>
      <c r="E1100" s="4">
        <f t="shared" ca="1" si="93"/>
        <v>24.102158333333332</v>
      </c>
      <c r="F1100" s="4">
        <f t="shared" ca="1" si="93"/>
        <v>25.100999999999996</v>
      </c>
      <c r="G1100" s="4">
        <f t="shared" ca="1" si="93"/>
        <v>23.490549999999999</v>
      </c>
      <c r="H1100" s="4">
        <f t="shared" ca="1" si="93"/>
        <v>24.391500000000004</v>
      </c>
      <c r="I1100" s="4">
        <f t="shared" ca="1" si="93"/>
        <v>23.167374999999996</v>
      </c>
      <c r="J1100" s="4">
        <f t="shared" ca="1" si="93"/>
        <v>23.083550000000002</v>
      </c>
      <c r="K1100" s="4"/>
      <c r="L1100" s="5">
        <f t="shared" ca="1" si="94"/>
        <v>336.06969999999995</v>
      </c>
      <c r="M1100" s="5">
        <f t="shared" ca="1" si="94"/>
        <v>142.0401</v>
      </c>
      <c r="N1100" s="5">
        <f t="shared" ca="1" si="94"/>
        <v>58.217499999999994</v>
      </c>
      <c r="O1100" s="5">
        <f t="shared" ca="1" si="94"/>
        <v>4.4104999999999999</v>
      </c>
      <c r="P1100" s="5">
        <f t="shared" ca="1" si="94"/>
        <v>14.718800000000003</v>
      </c>
      <c r="Q1100" s="5">
        <f t="shared" ca="1" si="94"/>
        <v>231.81149999999997</v>
      </c>
      <c r="R1100" s="4"/>
      <c r="S1100" s="4"/>
    </row>
    <row r="1101" spans="1:19" ht="15" customHeight="1">
      <c r="A1101" s="3">
        <f t="shared" si="92"/>
        <v>2079</v>
      </c>
      <c r="B1101" s="4">
        <f t="shared" ca="1" si="93"/>
        <v>24.883283333333335</v>
      </c>
      <c r="C1101" s="4">
        <f t="shared" ca="1" si="93"/>
        <v>24.893725</v>
      </c>
      <c r="D1101" s="4">
        <f t="shared" ca="1" si="93"/>
        <v>24.889833333333339</v>
      </c>
      <c r="E1101" s="4">
        <f t="shared" ca="1" si="93"/>
        <v>24.889958333333336</v>
      </c>
      <c r="F1101" s="4">
        <f t="shared" ca="1" si="93"/>
        <v>25.888808333333333</v>
      </c>
      <c r="G1101" s="4">
        <f t="shared" ca="1" si="93"/>
        <v>24.258475000000004</v>
      </c>
      <c r="H1101" s="4">
        <f t="shared" ca="1" si="93"/>
        <v>25.159399999999994</v>
      </c>
      <c r="I1101" s="4">
        <f t="shared" ca="1" si="93"/>
        <v>23.922633333333337</v>
      </c>
      <c r="J1101" s="4">
        <f t="shared" ca="1" si="93"/>
        <v>23.838416666666671</v>
      </c>
      <c r="K1101" s="4"/>
      <c r="L1101" s="5">
        <f t="shared" ca="1" si="94"/>
        <v>336.06969999999995</v>
      </c>
      <c r="M1101" s="5">
        <f t="shared" ca="1" si="94"/>
        <v>142.0401</v>
      </c>
      <c r="N1101" s="5">
        <f t="shared" ca="1" si="94"/>
        <v>58.217499999999994</v>
      </c>
      <c r="O1101" s="5">
        <f t="shared" ca="1" si="94"/>
        <v>4.4104999999999999</v>
      </c>
      <c r="P1101" s="5">
        <f t="shared" ca="1" si="94"/>
        <v>14.718800000000003</v>
      </c>
      <c r="Q1101" s="5">
        <f t="shared" ca="1" si="94"/>
        <v>231.81149999999997</v>
      </c>
      <c r="R1101" s="4"/>
      <c r="S1101" s="4"/>
    </row>
    <row r="1102" spans="1:19" ht="15" customHeight="1">
      <c r="A1102" s="3">
        <f t="shared" si="92"/>
        <v>2080</v>
      </c>
      <c r="B1102" s="4">
        <f t="shared" ca="1" si="93"/>
        <v>25.696850000000001</v>
      </c>
      <c r="C1102" s="4">
        <f t="shared" ca="1" si="93"/>
        <v>25.707266666666669</v>
      </c>
      <c r="D1102" s="4">
        <f t="shared" ca="1" si="93"/>
        <v>25.703383333333331</v>
      </c>
      <c r="E1102" s="4">
        <f t="shared" ca="1" si="93"/>
        <v>25.703508333333332</v>
      </c>
      <c r="F1102" s="4">
        <f t="shared" ca="1" si="93"/>
        <v>26.702358333333333</v>
      </c>
      <c r="G1102" s="4">
        <f t="shared" ca="1" si="93"/>
        <v>25.051500000000004</v>
      </c>
      <c r="H1102" s="4">
        <f t="shared" ca="1" si="93"/>
        <v>25.952441666666669</v>
      </c>
      <c r="I1102" s="4">
        <f t="shared" ca="1" si="93"/>
        <v>24.702566666666666</v>
      </c>
      <c r="J1102" s="4">
        <f t="shared" ca="1" si="93"/>
        <v>24.617941666666667</v>
      </c>
      <c r="K1102" s="4"/>
      <c r="L1102" s="5">
        <f t="shared" ca="1" si="94"/>
        <v>336.95349999999996</v>
      </c>
      <c r="M1102" s="5">
        <f t="shared" ca="1" si="94"/>
        <v>142.42920000000001</v>
      </c>
      <c r="N1102" s="5">
        <f t="shared" ca="1" si="94"/>
        <v>58.377000000000002</v>
      </c>
      <c r="O1102" s="5">
        <f t="shared" ca="1" si="94"/>
        <v>4.4226000000000001</v>
      </c>
      <c r="P1102" s="5">
        <f t="shared" ca="1" si="94"/>
        <v>14.760600000000004</v>
      </c>
      <c r="Q1102" s="5">
        <f t="shared" ca="1" si="94"/>
        <v>232.44659999999996</v>
      </c>
      <c r="R1102" s="4"/>
      <c r="S1102" s="4"/>
    </row>
    <row r="1103" spans="1:19" ht="15" customHeight="1">
      <c r="A1103" s="3">
        <f t="shared" si="92"/>
        <v>2081</v>
      </c>
      <c r="B1103" s="4">
        <f t="shared" ca="1" si="93"/>
        <v>26.536991666666665</v>
      </c>
      <c r="C1103" s="4">
        <f t="shared" ca="1" si="93"/>
        <v>26.547433333333331</v>
      </c>
      <c r="D1103" s="4">
        <f t="shared" ca="1" si="93"/>
        <v>26.54355</v>
      </c>
      <c r="E1103" s="4">
        <f t="shared" ca="1" si="93"/>
        <v>26.543666666666667</v>
      </c>
      <c r="F1103" s="4">
        <f t="shared" ca="1" si="93"/>
        <v>27.542508333333334</v>
      </c>
      <c r="G1103" s="4">
        <f t="shared" ca="1" si="93"/>
        <v>25.870474999999999</v>
      </c>
      <c r="H1103" s="4">
        <f t="shared" ca="1" si="93"/>
        <v>26.77140833333333</v>
      </c>
      <c r="I1103" s="4">
        <f t="shared" ca="1" si="93"/>
        <v>25.508025000000004</v>
      </c>
      <c r="J1103" s="4">
        <f t="shared" ca="1" si="93"/>
        <v>25.423000000000002</v>
      </c>
      <c r="K1103" s="4"/>
      <c r="L1103" s="5">
        <f t="shared" ca="1" si="94"/>
        <v>336.06969999999995</v>
      </c>
      <c r="M1103" s="5">
        <f t="shared" ca="1" si="94"/>
        <v>142.0401</v>
      </c>
      <c r="N1103" s="5">
        <f t="shared" ca="1" si="94"/>
        <v>58.217499999999994</v>
      </c>
      <c r="O1103" s="5">
        <f t="shared" ca="1" si="94"/>
        <v>4.4104999999999999</v>
      </c>
      <c r="P1103" s="5">
        <f t="shared" ca="1" si="94"/>
        <v>14.718800000000003</v>
      </c>
      <c r="Q1103" s="5">
        <f t="shared" ca="1" si="94"/>
        <v>231.81149999999997</v>
      </c>
      <c r="R1103" s="4"/>
      <c r="S1103" s="4"/>
    </row>
    <row r="1104" spans="1:19" ht="15" customHeight="1">
      <c r="A1104" s="3">
        <f t="shared" si="92"/>
        <v>2082</v>
      </c>
      <c r="B1104" s="4">
        <f t="shared" ref="B1104:J1113" ca="1" si="95">AVERAGE(OFFSET(B$569,($A1104-$A$1084)*12,0,12,1))</f>
        <v>27.404658333333334</v>
      </c>
      <c r="C1104" s="4">
        <f t="shared" ca="1" si="95"/>
        <v>27.415075000000002</v>
      </c>
      <c r="D1104" s="4">
        <f t="shared" ca="1" si="95"/>
        <v>27.411208333333335</v>
      </c>
      <c r="E1104" s="4">
        <f t="shared" ca="1" si="95"/>
        <v>27.411308333333334</v>
      </c>
      <c r="F1104" s="4">
        <f t="shared" ca="1" si="95"/>
        <v>28.410150000000002</v>
      </c>
      <c r="G1104" s="4">
        <f t="shared" ca="1" si="95"/>
        <v>26.716208333333338</v>
      </c>
      <c r="H1104" s="4">
        <f t="shared" ca="1" si="95"/>
        <v>27.617141666666669</v>
      </c>
      <c r="I1104" s="4">
        <f t="shared" ca="1" si="95"/>
        <v>26.339816666666668</v>
      </c>
      <c r="J1104" s="4">
        <f t="shared" ca="1" si="95"/>
        <v>26.254358333333339</v>
      </c>
      <c r="K1104" s="4"/>
      <c r="L1104" s="5">
        <f t="shared" ref="L1104:Q1113" ca="1" si="96">SUM(OFFSET(L$569,($A1104-$A$1084)*12,0,12,1))</f>
        <v>336.06969999999995</v>
      </c>
      <c r="M1104" s="5">
        <f t="shared" ca="1" si="96"/>
        <v>142.0401</v>
      </c>
      <c r="N1104" s="5">
        <f t="shared" ca="1" si="96"/>
        <v>58.217499999999994</v>
      </c>
      <c r="O1104" s="5">
        <f t="shared" ca="1" si="96"/>
        <v>4.4104999999999999</v>
      </c>
      <c r="P1104" s="5">
        <f t="shared" ca="1" si="96"/>
        <v>14.718800000000003</v>
      </c>
      <c r="Q1104" s="5">
        <f t="shared" ca="1" si="96"/>
        <v>231.81149999999997</v>
      </c>
      <c r="R1104" s="4"/>
      <c r="S1104" s="4"/>
    </row>
    <row r="1105" spans="1:19" ht="15" customHeight="1">
      <c r="A1105" s="3">
        <f t="shared" si="92"/>
        <v>2083</v>
      </c>
      <c r="B1105" s="4">
        <f t="shared" ca="1" si="95"/>
        <v>28.300650000000005</v>
      </c>
      <c r="C1105" s="4">
        <f t="shared" ca="1" si="95"/>
        <v>28.311091666666666</v>
      </c>
      <c r="D1105" s="4">
        <f t="shared" ca="1" si="95"/>
        <v>28.307208333333335</v>
      </c>
      <c r="E1105" s="4">
        <f t="shared" ca="1" si="95"/>
        <v>28.307333333333332</v>
      </c>
      <c r="F1105" s="4">
        <f t="shared" ca="1" si="95"/>
        <v>29.306166666666659</v>
      </c>
      <c r="G1105" s="4">
        <f t="shared" ca="1" si="95"/>
        <v>27.589641666666665</v>
      </c>
      <c r="H1105" s="4">
        <f t="shared" ca="1" si="95"/>
        <v>28.490575000000003</v>
      </c>
      <c r="I1105" s="4">
        <f t="shared" ca="1" si="95"/>
        <v>27.198808333333332</v>
      </c>
      <c r="J1105" s="4">
        <f t="shared" ca="1" si="95"/>
        <v>27.112925000000001</v>
      </c>
      <c r="K1105" s="4"/>
      <c r="L1105" s="5">
        <f t="shared" ca="1" si="96"/>
        <v>336.06969999999995</v>
      </c>
      <c r="M1105" s="5">
        <f t="shared" ca="1" si="96"/>
        <v>142.0401</v>
      </c>
      <c r="N1105" s="5">
        <f t="shared" ca="1" si="96"/>
        <v>58.217499999999994</v>
      </c>
      <c r="O1105" s="5">
        <f t="shared" ca="1" si="96"/>
        <v>4.4104999999999999</v>
      </c>
      <c r="P1105" s="5">
        <f t="shared" ca="1" si="96"/>
        <v>14.718800000000003</v>
      </c>
      <c r="Q1105" s="5">
        <f t="shared" ca="1" si="96"/>
        <v>231.81149999999997</v>
      </c>
      <c r="R1105" s="4"/>
      <c r="S1105" s="4"/>
    </row>
    <row r="1106" spans="1:19" ht="15" customHeight="1">
      <c r="A1106" s="3">
        <f t="shared" si="92"/>
        <v>2084</v>
      </c>
      <c r="B1106" s="4">
        <f t="shared" ca="1" si="95"/>
        <v>29.225975000000005</v>
      </c>
      <c r="C1106" s="4">
        <f t="shared" ca="1" si="95"/>
        <v>29.236400000000003</v>
      </c>
      <c r="D1106" s="4">
        <f t="shared" ca="1" si="95"/>
        <v>29.232524999999999</v>
      </c>
      <c r="E1106" s="4">
        <f t="shared" ca="1" si="95"/>
        <v>29.232624999999999</v>
      </c>
      <c r="F1106" s="4">
        <f t="shared" ca="1" si="95"/>
        <v>30.23148333333333</v>
      </c>
      <c r="G1106" s="4">
        <f t="shared" ca="1" si="95"/>
        <v>28.491608333333332</v>
      </c>
      <c r="H1106" s="4">
        <f t="shared" ca="1" si="95"/>
        <v>29.392533333333333</v>
      </c>
      <c r="I1106" s="4">
        <f t="shared" ca="1" si="95"/>
        <v>28.085866666666664</v>
      </c>
      <c r="J1106" s="4">
        <f t="shared" ca="1" si="95"/>
        <v>27.999566666666666</v>
      </c>
      <c r="K1106" s="4"/>
      <c r="L1106" s="5">
        <f t="shared" ca="1" si="96"/>
        <v>336.95349999999996</v>
      </c>
      <c r="M1106" s="5">
        <f t="shared" ca="1" si="96"/>
        <v>142.42920000000001</v>
      </c>
      <c r="N1106" s="5">
        <f t="shared" ca="1" si="96"/>
        <v>58.377000000000002</v>
      </c>
      <c r="O1106" s="5">
        <f t="shared" ca="1" si="96"/>
        <v>4.4226000000000001</v>
      </c>
      <c r="P1106" s="5">
        <f t="shared" ca="1" si="96"/>
        <v>14.760600000000004</v>
      </c>
      <c r="Q1106" s="5">
        <f t="shared" ca="1" si="96"/>
        <v>232.44659999999996</v>
      </c>
      <c r="R1106" s="4"/>
      <c r="S1106" s="4"/>
    </row>
    <row r="1107" spans="1:19" ht="15" customHeight="1">
      <c r="A1107" s="3">
        <f t="shared" si="92"/>
        <v>2085</v>
      </c>
      <c r="B1107" s="4">
        <f t="shared" ca="1" si="95"/>
        <v>30.181541666666664</v>
      </c>
      <c r="C1107" s="4">
        <f t="shared" ca="1" si="95"/>
        <v>30.191983333333329</v>
      </c>
      <c r="D1107" s="4">
        <f t="shared" ca="1" si="95"/>
        <v>30.188100000000002</v>
      </c>
      <c r="E1107" s="4">
        <f t="shared" ca="1" si="95"/>
        <v>30.188216666666666</v>
      </c>
      <c r="F1107" s="4">
        <f t="shared" ca="1" si="95"/>
        <v>31.187066666666666</v>
      </c>
      <c r="G1107" s="4">
        <f t="shared" ca="1" si="95"/>
        <v>29.423075000000001</v>
      </c>
      <c r="H1107" s="4">
        <f t="shared" ca="1" si="95"/>
        <v>30.323991666666668</v>
      </c>
      <c r="I1107" s="4">
        <f t="shared" ca="1" si="95"/>
        <v>29.001966666666672</v>
      </c>
      <c r="J1107" s="4">
        <f t="shared" ca="1" si="95"/>
        <v>28.915200000000002</v>
      </c>
      <c r="K1107" s="4"/>
      <c r="L1107" s="5">
        <f t="shared" ca="1" si="96"/>
        <v>336.06969999999995</v>
      </c>
      <c r="M1107" s="5">
        <f t="shared" ca="1" si="96"/>
        <v>142.0401</v>
      </c>
      <c r="N1107" s="5">
        <f t="shared" ca="1" si="96"/>
        <v>58.217499999999994</v>
      </c>
      <c r="O1107" s="5">
        <f t="shared" ca="1" si="96"/>
        <v>4.4104999999999999</v>
      </c>
      <c r="P1107" s="5">
        <f t="shared" ca="1" si="96"/>
        <v>14.718800000000003</v>
      </c>
      <c r="Q1107" s="5">
        <f t="shared" ca="1" si="96"/>
        <v>231.81149999999997</v>
      </c>
      <c r="R1107" s="4"/>
      <c r="S1107" s="4"/>
    </row>
    <row r="1108" spans="1:19" ht="15" customHeight="1">
      <c r="A1108" s="3">
        <f t="shared" si="92"/>
        <v>2086</v>
      </c>
      <c r="B1108" s="4">
        <f t="shared" ca="1" si="95"/>
        <v>31.168366666666667</v>
      </c>
      <c r="C1108" s="4">
        <f t="shared" ca="1" si="95"/>
        <v>31.178825000000003</v>
      </c>
      <c r="D1108" s="4">
        <f t="shared" ca="1" si="95"/>
        <v>31.174933333333332</v>
      </c>
      <c r="E1108" s="4">
        <f t="shared" ca="1" si="95"/>
        <v>31.175049999999999</v>
      </c>
      <c r="F1108" s="4">
        <f t="shared" ca="1" si="95"/>
        <v>32.173891666666663</v>
      </c>
      <c r="G1108" s="4">
        <f t="shared" ca="1" si="95"/>
        <v>30.385008333333335</v>
      </c>
      <c r="H1108" s="4">
        <f t="shared" ca="1" si="95"/>
        <v>31.285941666666663</v>
      </c>
      <c r="I1108" s="4">
        <f t="shared" ca="1" si="95"/>
        <v>29.948024999999998</v>
      </c>
      <c r="J1108" s="4">
        <f t="shared" ca="1" si="95"/>
        <v>29.86079166666666</v>
      </c>
      <c r="K1108" s="4"/>
      <c r="L1108" s="5">
        <f t="shared" ca="1" si="96"/>
        <v>336.06969999999995</v>
      </c>
      <c r="M1108" s="5">
        <f t="shared" ca="1" si="96"/>
        <v>142.0401</v>
      </c>
      <c r="N1108" s="5">
        <f t="shared" ca="1" si="96"/>
        <v>58.217499999999994</v>
      </c>
      <c r="O1108" s="5">
        <f t="shared" ca="1" si="96"/>
        <v>4.4104999999999999</v>
      </c>
      <c r="P1108" s="5">
        <f t="shared" ca="1" si="96"/>
        <v>14.718800000000003</v>
      </c>
      <c r="Q1108" s="5">
        <f t="shared" ca="1" si="96"/>
        <v>231.81149999999997</v>
      </c>
      <c r="R1108" s="4"/>
      <c r="S1108" s="4"/>
    </row>
    <row r="1109" spans="1:19" ht="15" customHeight="1">
      <c r="A1109" s="3">
        <f t="shared" si="92"/>
        <v>2087</v>
      </c>
      <c r="B1109" s="4">
        <f t="shared" ca="1" si="95"/>
        <v>32.187483333333333</v>
      </c>
      <c r="C1109" s="4">
        <f t="shared" ca="1" si="95"/>
        <v>32.197916666666664</v>
      </c>
      <c r="D1109" s="4">
        <f t="shared" ca="1" si="95"/>
        <v>32.194025000000003</v>
      </c>
      <c r="E1109" s="4">
        <f t="shared" ca="1" si="95"/>
        <v>32.194158333333334</v>
      </c>
      <c r="F1109" s="4">
        <f t="shared" ca="1" si="95"/>
        <v>33.192991666666664</v>
      </c>
      <c r="G1109" s="4">
        <f t="shared" ca="1" si="95"/>
        <v>31.378408333333336</v>
      </c>
      <c r="H1109" s="4">
        <f t="shared" ca="1" si="95"/>
        <v>32.279316666666666</v>
      </c>
      <c r="I1109" s="4">
        <f t="shared" ca="1" si="95"/>
        <v>30.925008333333327</v>
      </c>
      <c r="J1109" s="4">
        <f t="shared" ca="1" si="95"/>
        <v>30.837283333333332</v>
      </c>
      <c r="K1109" s="4"/>
      <c r="L1109" s="5">
        <f t="shared" ca="1" si="96"/>
        <v>336.06969999999995</v>
      </c>
      <c r="M1109" s="5">
        <f t="shared" ca="1" si="96"/>
        <v>142.0401</v>
      </c>
      <c r="N1109" s="5">
        <f t="shared" ca="1" si="96"/>
        <v>58.217499999999994</v>
      </c>
      <c r="O1109" s="5">
        <f t="shared" ca="1" si="96"/>
        <v>4.4104999999999999</v>
      </c>
      <c r="P1109" s="5">
        <f t="shared" ca="1" si="96"/>
        <v>14.718800000000003</v>
      </c>
      <c r="Q1109" s="5">
        <f t="shared" ca="1" si="96"/>
        <v>231.81149999999997</v>
      </c>
      <c r="R1109" s="4"/>
      <c r="S1109" s="4"/>
    </row>
    <row r="1110" spans="1:19" ht="15" customHeight="1">
      <c r="A1110" s="3">
        <f t="shared" si="92"/>
        <v>2088</v>
      </c>
      <c r="B1110" s="4">
        <f t="shared" ca="1" si="95"/>
        <v>33.239908333333325</v>
      </c>
      <c r="C1110" s="4">
        <f t="shared" ca="1" si="95"/>
        <v>33.250349999999997</v>
      </c>
      <c r="D1110" s="4">
        <f t="shared" ca="1" si="95"/>
        <v>33.246450000000003</v>
      </c>
      <c r="E1110" s="4">
        <f t="shared" ca="1" si="95"/>
        <v>33.246575</v>
      </c>
      <c r="F1110" s="4">
        <f t="shared" ca="1" si="95"/>
        <v>34.245416666666664</v>
      </c>
      <c r="G1110" s="4">
        <f t="shared" ca="1" si="95"/>
        <v>32.404283333333332</v>
      </c>
      <c r="H1110" s="4">
        <f t="shared" ca="1" si="95"/>
        <v>33.305199999999992</v>
      </c>
      <c r="I1110" s="4">
        <f t="shared" ca="1" si="95"/>
        <v>31.933949999999999</v>
      </c>
      <c r="J1110" s="4">
        <f t="shared" ca="1" si="95"/>
        <v>31.845716666666664</v>
      </c>
      <c r="K1110" s="4"/>
      <c r="L1110" s="5">
        <f t="shared" ca="1" si="96"/>
        <v>336.95349999999996</v>
      </c>
      <c r="M1110" s="5">
        <f t="shared" ca="1" si="96"/>
        <v>142.42920000000001</v>
      </c>
      <c r="N1110" s="5">
        <f t="shared" ca="1" si="96"/>
        <v>58.377000000000002</v>
      </c>
      <c r="O1110" s="5">
        <f t="shared" ca="1" si="96"/>
        <v>4.4226000000000001</v>
      </c>
      <c r="P1110" s="5">
        <f t="shared" ca="1" si="96"/>
        <v>14.760600000000004</v>
      </c>
      <c r="Q1110" s="5">
        <f t="shared" ca="1" si="96"/>
        <v>232.44659999999996</v>
      </c>
      <c r="R1110" s="4"/>
      <c r="S1110" s="4"/>
    </row>
    <row r="1111" spans="1:19" ht="15" customHeight="1">
      <c r="A1111" s="3">
        <f t="shared" si="92"/>
        <v>2089</v>
      </c>
      <c r="B1111" s="4">
        <f t="shared" ca="1" si="95"/>
        <v>34.326766666666664</v>
      </c>
      <c r="C1111" s="4">
        <f t="shared" ca="1" si="95"/>
        <v>34.337191666666669</v>
      </c>
      <c r="D1111" s="4">
        <f t="shared" ca="1" si="95"/>
        <v>34.333308333333328</v>
      </c>
      <c r="E1111" s="4">
        <f t="shared" ca="1" si="95"/>
        <v>34.333441666666666</v>
      </c>
      <c r="F1111" s="4">
        <f t="shared" ca="1" si="95"/>
        <v>35.332274999999996</v>
      </c>
      <c r="G1111" s="4">
        <f t="shared" ca="1" si="95"/>
        <v>33.46370000000001</v>
      </c>
      <c r="H1111" s="4">
        <f t="shared" ca="1" si="95"/>
        <v>34.364650000000005</v>
      </c>
      <c r="I1111" s="4">
        <f t="shared" ca="1" si="95"/>
        <v>32.975883333333336</v>
      </c>
      <c r="J1111" s="4">
        <f t="shared" ca="1" si="95"/>
        <v>32.887141666666672</v>
      </c>
      <c r="K1111" s="4"/>
      <c r="L1111" s="5">
        <f t="shared" ca="1" si="96"/>
        <v>336.06969999999995</v>
      </c>
      <c r="M1111" s="5">
        <f t="shared" ca="1" si="96"/>
        <v>142.0401</v>
      </c>
      <c r="N1111" s="5">
        <f t="shared" ca="1" si="96"/>
        <v>58.217499999999994</v>
      </c>
      <c r="O1111" s="5">
        <f t="shared" ca="1" si="96"/>
        <v>4.4104999999999999</v>
      </c>
      <c r="P1111" s="5">
        <f t="shared" ca="1" si="96"/>
        <v>14.718800000000003</v>
      </c>
      <c r="Q1111" s="5">
        <f t="shared" ca="1" si="96"/>
        <v>231.81149999999997</v>
      </c>
      <c r="R1111" s="4"/>
      <c r="S1111" s="4"/>
    </row>
    <row r="1112" spans="1:19" ht="15" customHeight="1">
      <c r="A1112" s="3">
        <f t="shared" si="92"/>
        <v>2090</v>
      </c>
      <c r="B1112" s="4">
        <f t="shared" ca="1" si="95"/>
        <v>35.449141666666662</v>
      </c>
      <c r="C1112" s="4">
        <f t="shared" ca="1" si="95"/>
        <v>35.459583333333335</v>
      </c>
      <c r="D1112" s="4">
        <f t="shared" ca="1" si="95"/>
        <v>35.4557</v>
      </c>
      <c r="E1112" s="4">
        <f t="shared" ca="1" si="95"/>
        <v>35.455824999999997</v>
      </c>
      <c r="F1112" s="4">
        <f t="shared" ca="1" si="95"/>
        <v>36.454650000000001</v>
      </c>
      <c r="G1112" s="4">
        <f t="shared" ca="1" si="95"/>
        <v>34.557783333333326</v>
      </c>
      <c r="H1112" s="4">
        <f t="shared" ca="1" si="95"/>
        <v>35.458708333333341</v>
      </c>
      <c r="I1112" s="4">
        <f t="shared" ca="1" si="95"/>
        <v>34.051908333333337</v>
      </c>
      <c r="J1112" s="4">
        <f t="shared" ca="1" si="95"/>
        <v>33.962616666666662</v>
      </c>
      <c r="K1112" s="4"/>
      <c r="L1112" s="5">
        <f t="shared" ca="1" si="96"/>
        <v>336.06969999999995</v>
      </c>
      <c r="M1112" s="5">
        <f t="shared" ca="1" si="96"/>
        <v>142.0401</v>
      </c>
      <c r="N1112" s="5">
        <f t="shared" ca="1" si="96"/>
        <v>58.217499999999994</v>
      </c>
      <c r="O1112" s="5">
        <f t="shared" ca="1" si="96"/>
        <v>4.4104999999999999</v>
      </c>
      <c r="P1112" s="5">
        <f t="shared" ca="1" si="96"/>
        <v>14.718800000000003</v>
      </c>
      <c r="Q1112" s="5">
        <f t="shared" ca="1" si="96"/>
        <v>231.81149999999997</v>
      </c>
      <c r="R1112" s="4"/>
      <c r="S1112" s="4"/>
    </row>
    <row r="1113" spans="1:19" ht="15" customHeight="1">
      <c r="A1113" s="3">
        <f t="shared" si="92"/>
        <v>2091</v>
      </c>
      <c r="B1113" s="4">
        <f t="shared" ca="1" si="95"/>
        <v>36.608250000000005</v>
      </c>
      <c r="C1113" s="4">
        <f t="shared" ca="1" si="95"/>
        <v>36.618674999999996</v>
      </c>
      <c r="D1113" s="4">
        <f t="shared" ca="1" si="95"/>
        <v>36.614791666666669</v>
      </c>
      <c r="E1113" s="4">
        <f t="shared" ca="1" si="95"/>
        <v>36.614908333333332</v>
      </c>
      <c r="F1113" s="4">
        <f t="shared" ca="1" si="95"/>
        <v>37.613750000000003</v>
      </c>
      <c r="G1113" s="4">
        <f t="shared" ca="1" si="95"/>
        <v>35.687633333333338</v>
      </c>
      <c r="H1113" s="4">
        <f t="shared" ca="1" si="95"/>
        <v>36.588566666666672</v>
      </c>
      <c r="I1113" s="4">
        <f t="shared" ca="1" si="95"/>
        <v>35.163116666666667</v>
      </c>
      <c r="J1113" s="4">
        <f t="shared" ca="1" si="95"/>
        <v>35.073258333333328</v>
      </c>
      <c r="K1113" s="4"/>
      <c r="L1113" s="5">
        <f t="shared" ca="1" si="96"/>
        <v>336.06969999999995</v>
      </c>
      <c r="M1113" s="5">
        <f t="shared" ca="1" si="96"/>
        <v>142.0401</v>
      </c>
      <c r="N1113" s="5">
        <f t="shared" ca="1" si="96"/>
        <v>58.217499999999994</v>
      </c>
      <c r="O1113" s="5">
        <f t="shared" ca="1" si="96"/>
        <v>4.4104999999999999</v>
      </c>
      <c r="P1113" s="5">
        <f t="shared" ca="1" si="96"/>
        <v>14.718800000000003</v>
      </c>
      <c r="Q1113" s="5">
        <f t="shared" ca="1" si="96"/>
        <v>231.81149999999997</v>
      </c>
      <c r="R1113" s="4"/>
      <c r="S1113" s="4"/>
    </row>
    <row r="1114" spans="1:19" ht="15" customHeight="1">
      <c r="A1114" s="3">
        <f t="shared" si="92"/>
        <v>2092</v>
      </c>
      <c r="B1114" s="4">
        <f t="shared" ref="B1114:J1122" ca="1" si="97">AVERAGE(OFFSET(B$569,($A1114-$A$1084)*12,0,12,1))</f>
        <v>37.805241666666667</v>
      </c>
      <c r="C1114" s="4">
        <f t="shared" ca="1" si="97"/>
        <v>37.815683333333332</v>
      </c>
      <c r="D1114" s="4">
        <f t="shared" ca="1" si="97"/>
        <v>37.811799999999998</v>
      </c>
      <c r="E1114" s="4">
        <f t="shared" ca="1" si="97"/>
        <v>37.811916666666669</v>
      </c>
      <c r="F1114" s="4">
        <f t="shared" ca="1" si="97"/>
        <v>38.810758333333332</v>
      </c>
      <c r="G1114" s="4">
        <f t="shared" ca="1" si="97"/>
        <v>36.85443333333334</v>
      </c>
      <c r="H1114" s="4">
        <f t="shared" ca="1" si="97"/>
        <v>37.755366666666667</v>
      </c>
      <c r="I1114" s="4">
        <f t="shared" ca="1" si="97"/>
        <v>36.310658333333336</v>
      </c>
      <c r="J1114" s="4">
        <f t="shared" ca="1" si="97"/>
        <v>36.220233333333333</v>
      </c>
      <c r="K1114" s="4"/>
      <c r="L1114" s="5">
        <f t="shared" ref="L1114:Q1122" ca="1" si="98">SUM(OFFSET(L$569,($A1114-$A$1084)*12,0,12,1))</f>
        <v>336.95349999999996</v>
      </c>
      <c r="M1114" s="5">
        <f t="shared" ca="1" si="98"/>
        <v>142.42920000000001</v>
      </c>
      <c r="N1114" s="5">
        <f t="shared" ca="1" si="98"/>
        <v>58.377000000000002</v>
      </c>
      <c r="O1114" s="5">
        <f t="shared" ca="1" si="98"/>
        <v>4.4226000000000001</v>
      </c>
      <c r="P1114" s="5">
        <f t="shared" ca="1" si="98"/>
        <v>14.760600000000004</v>
      </c>
      <c r="Q1114" s="5">
        <f t="shared" ca="1" si="98"/>
        <v>232.44659999999996</v>
      </c>
      <c r="R1114" s="4"/>
      <c r="S1114" s="4"/>
    </row>
    <row r="1115" spans="1:19" ht="15" customHeight="1">
      <c r="A1115" s="3">
        <f t="shared" si="92"/>
        <v>2093</v>
      </c>
      <c r="B1115" s="4">
        <f t="shared" ca="1" si="97"/>
        <v>39.041400000000003</v>
      </c>
      <c r="C1115" s="4">
        <f t="shared" ca="1" si="97"/>
        <v>39.051841666666668</v>
      </c>
      <c r="D1115" s="4">
        <f t="shared" ca="1" si="97"/>
        <v>39.047958333333334</v>
      </c>
      <c r="E1115" s="4">
        <f t="shared" ca="1" si="97"/>
        <v>39.048083333333331</v>
      </c>
      <c r="F1115" s="4">
        <f t="shared" ca="1" si="97"/>
        <v>40.046925000000009</v>
      </c>
      <c r="G1115" s="4">
        <f t="shared" ca="1" si="97"/>
        <v>38.059399999999997</v>
      </c>
      <c r="H1115" s="4">
        <f t="shared" ca="1" si="97"/>
        <v>38.960333333333331</v>
      </c>
      <c r="I1115" s="4">
        <f t="shared" ca="1" si="97"/>
        <v>37.495725</v>
      </c>
      <c r="J1115" s="4">
        <f t="shared" ca="1" si="97"/>
        <v>37.404708333333332</v>
      </c>
      <c r="K1115" s="4"/>
      <c r="L1115" s="5">
        <f t="shared" ca="1" si="98"/>
        <v>336.06969999999995</v>
      </c>
      <c r="M1115" s="5">
        <f t="shared" ca="1" si="98"/>
        <v>142.0401</v>
      </c>
      <c r="N1115" s="5">
        <f t="shared" ca="1" si="98"/>
        <v>58.217499999999994</v>
      </c>
      <c r="O1115" s="5">
        <f t="shared" ca="1" si="98"/>
        <v>4.4104999999999999</v>
      </c>
      <c r="P1115" s="5">
        <f t="shared" ca="1" si="98"/>
        <v>14.718800000000003</v>
      </c>
      <c r="Q1115" s="5">
        <f t="shared" ca="1" si="98"/>
        <v>231.81149999999997</v>
      </c>
      <c r="R1115" s="4"/>
      <c r="S1115" s="4"/>
    </row>
    <row r="1116" spans="1:19" ht="15" customHeight="1">
      <c r="A1116" s="3">
        <f t="shared" si="92"/>
        <v>2094</v>
      </c>
      <c r="B1116" s="4">
        <f t="shared" ca="1" si="97"/>
        <v>40.317975000000004</v>
      </c>
      <c r="C1116" s="4">
        <f t="shared" ca="1" si="97"/>
        <v>40.328425000000003</v>
      </c>
      <c r="D1116" s="4">
        <f t="shared" ca="1" si="97"/>
        <v>40.324541666666661</v>
      </c>
      <c r="E1116" s="4">
        <f t="shared" ca="1" si="97"/>
        <v>40.324666666666666</v>
      </c>
      <c r="F1116" s="4">
        <f t="shared" ca="1" si="97"/>
        <v>41.323483333333336</v>
      </c>
      <c r="G1116" s="4">
        <f t="shared" ca="1" si="97"/>
        <v>39.303775000000002</v>
      </c>
      <c r="H1116" s="4">
        <f t="shared" ca="1" si="97"/>
        <v>40.204700000000003</v>
      </c>
      <c r="I1116" s="4">
        <f t="shared" ca="1" si="97"/>
        <v>38.719541666666679</v>
      </c>
      <c r="J1116" s="4">
        <f t="shared" ca="1" si="97"/>
        <v>38.627941666666665</v>
      </c>
      <c r="K1116" s="4"/>
      <c r="L1116" s="5">
        <f t="shared" ca="1" si="98"/>
        <v>336.06969999999995</v>
      </c>
      <c r="M1116" s="5">
        <f t="shared" ca="1" si="98"/>
        <v>142.0401</v>
      </c>
      <c r="N1116" s="5">
        <f t="shared" ca="1" si="98"/>
        <v>58.217499999999994</v>
      </c>
      <c r="O1116" s="5">
        <f t="shared" ca="1" si="98"/>
        <v>4.4104999999999999</v>
      </c>
      <c r="P1116" s="5">
        <f t="shared" ca="1" si="98"/>
        <v>14.718800000000003</v>
      </c>
      <c r="Q1116" s="5">
        <f t="shared" ca="1" si="98"/>
        <v>231.81149999999997</v>
      </c>
      <c r="R1116" s="4"/>
      <c r="S1116" s="4"/>
    </row>
    <row r="1117" spans="1:19" ht="15" customHeight="1">
      <c r="A1117" s="3">
        <f t="shared" si="92"/>
        <v>2095</v>
      </c>
      <c r="B1117" s="4">
        <f t="shared" ca="1" si="97"/>
        <v>41.636308333333325</v>
      </c>
      <c r="C1117" s="4">
        <f t="shared" ca="1" si="97"/>
        <v>41.646749999999997</v>
      </c>
      <c r="D1117" s="4">
        <f t="shared" ca="1" si="97"/>
        <v>41.642874999999997</v>
      </c>
      <c r="E1117" s="4">
        <f t="shared" ca="1" si="97"/>
        <v>41.642983333333341</v>
      </c>
      <c r="F1117" s="4">
        <f t="shared" ca="1" si="97"/>
        <v>42.641833333333331</v>
      </c>
      <c r="G1117" s="4">
        <f t="shared" ca="1" si="97"/>
        <v>40.588858333333334</v>
      </c>
      <c r="H1117" s="4">
        <f t="shared" ca="1" si="97"/>
        <v>41.489758333333334</v>
      </c>
      <c r="I1117" s="4">
        <f t="shared" ca="1" si="97"/>
        <v>39.983399999999996</v>
      </c>
      <c r="J1117" s="4">
        <f t="shared" ca="1" si="97"/>
        <v>39.891150000000003</v>
      </c>
      <c r="K1117" s="4"/>
      <c r="L1117" s="5">
        <f t="shared" ca="1" si="98"/>
        <v>336.06969999999995</v>
      </c>
      <c r="M1117" s="5">
        <f t="shared" ca="1" si="98"/>
        <v>142.0401</v>
      </c>
      <c r="N1117" s="5">
        <f t="shared" ca="1" si="98"/>
        <v>58.217499999999994</v>
      </c>
      <c r="O1117" s="5">
        <f t="shared" ca="1" si="98"/>
        <v>4.4104999999999999</v>
      </c>
      <c r="P1117" s="5">
        <f t="shared" ca="1" si="98"/>
        <v>14.718800000000003</v>
      </c>
      <c r="Q1117" s="5">
        <f t="shared" ca="1" si="98"/>
        <v>231.81149999999997</v>
      </c>
      <c r="R1117" s="4"/>
      <c r="S1117" s="4"/>
    </row>
    <row r="1118" spans="1:19" ht="15" customHeight="1">
      <c r="A1118" s="3">
        <f t="shared" si="92"/>
        <v>2096</v>
      </c>
      <c r="B1118" s="4">
        <f t="shared" ca="1" si="97"/>
        <v>42.997758333333337</v>
      </c>
      <c r="C1118" s="4">
        <f t="shared" ca="1" si="97"/>
        <v>43.008200000000009</v>
      </c>
      <c r="D1118" s="4">
        <f t="shared" ca="1" si="97"/>
        <v>43.004316666666675</v>
      </c>
      <c r="E1118" s="4">
        <f t="shared" ca="1" si="97"/>
        <v>43.004433333333331</v>
      </c>
      <c r="F1118" s="4">
        <f t="shared" ca="1" si="97"/>
        <v>44.003258333333328</v>
      </c>
      <c r="G1118" s="4">
        <f t="shared" ca="1" si="97"/>
        <v>41.915941666666662</v>
      </c>
      <c r="H1118" s="4">
        <f t="shared" ca="1" si="97"/>
        <v>42.816875000000003</v>
      </c>
      <c r="I1118" s="4">
        <f t="shared" ca="1" si="97"/>
        <v>41.288591666666669</v>
      </c>
      <c r="J1118" s="4">
        <f t="shared" ca="1" si="97"/>
        <v>41.195683333333335</v>
      </c>
      <c r="K1118" s="4"/>
      <c r="L1118" s="5">
        <f t="shared" ca="1" si="98"/>
        <v>336.95349999999996</v>
      </c>
      <c r="M1118" s="5">
        <f t="shared" ca="1" si="98"/>
        <v>142.42920000000001</v>
      </c>
      <c r="N1118" s="5">
        <f t="shared" ca="1" si="98"/>
        <v>58.377000000000002</v>
      </c>
      <c r="O1118" s="5">
        <f t="shared" ca="1" si="98"/>
        <v>4.4226000000000001</v>
      </c>
      <c r="P1118" s="5">
        <f t="shared" ca="1" si="98"/>
        <v>14.760600000000004</v>
      </c>
      <c r="Q1118" s="5">
        <f t="shared" ca="1" si="98"/>
        <v>232.44659999999996</v>
      </c>
      <c r="R1118" s="4"/>
      <c r="S1118" s="4"/>
    </row>
    <row r="1119" spans="1:19" ht="15" customHeight="1">
      <c r="A1119" s="3">
        <f t="shared" si="92"/>
        <v>2097</v>
      </c>
      <c r="B1119" s="4">
        <f t="shared" ca="1" si="97"/>
        <v>44.403724999999987</v>
      </c>
      <c r="C1119" s="4">
        <f t="shared" ca="1" si="97"/>
        <v>44.414149999999999</v>
      </c>
      <c r="D1119" s="4">
        <f t="shared" ca="1" si="97"/>
        <v>44.410283333333325</v>
      </c>
      <c r="E1119" s="4">
        <f t="shared" ca="1" si="97"/>
        <v>44.41040000000001</v>
      </c>
      <c r="F1119" s="4">
        <f t="shared" ca="1" si="97"/>
        <v>45.409224999999999</v>
      </c>
      <c r="G1119" s="4">
        <f t="shared" ca="1" si="97"/>
        <v>43.286441666666661</v>
      </c>
      <c r="H1119" s="4">
        <f t="shared" ca="1" si="97"/>
        <v>44.187366666666669</v>
      </c>
      <c r="I1119" s="4">
        <f t="shared" ca="1" si="97"/>
        <v>42.636466666666671</v>
      </c>
      <c r="J1119" s="4">
        <f t="shared" ca="1" si="97"/>
        <v>42.542875000000009</v>
      </c>
      <c r="K1119" s="4"/>
      <c r="L1119" s="5">
        <f t="shared" ca="1" si="98"/>
        <v>336.06969999999995</v>
      </c>
      <c r="M1119" s="5">
        <f t="shared" ca="1" si="98"/>
        <v>142.0401</v>
      </c>
      <c r="N1119" s="5">
        <f t="shared" ca="1" si="98"/>
        <v>58.217499999999994</v>
      </c>
      <c r="O1119" s="5">
        <f t="shared" ca="1" si="98"/>
        <v>4.4104999999999999</v>
      </c>
      <c r="P1119" s="5">
        <f t="shared" ca="1" si="98"/>
        <v>14.718800000000003</v>
      </c>
      <c r="Q1119" s="5">
        <f t="shared" ca="1" si="98"/>
        <v>231.81149999999997</v>
      </c>
      <c r="R1119" s="4"/>
      <c r="S1119" s="4"/>
    </row>
    <row r="1120" spans="1:19" ht="15" customHeight="1">
      <c r="A1120" s="3">
        <f t="shared" si="92"/>
        <v>2098</v>
      </c>
      <c r="B1120" s="4">
        <f t="shared" ca="1" si="97"/>
        <v>45.855666666666671</v>
      </c>
      <c r="C1120" s="4">
        <f t="shared" ca="1" si="97"/>
        <v>45.866099999999996</v>
      </c>
      <c r="D1120" s="4">
        <f t="shared" ca="1" si="97"/>
        <v>45.862225000000002</v>
      </c>
      <c r="E1120" s="4">
        <f t="shared" ca="1" si="97"/>
        <v>45.862333333333332</v>
      </c>
      <c r="F1120" s="4">
        <f t="shared" ca="1" si="97"/>
        <v>46.861183333333322</v>
      </c>
      <c r="G1120" s="4">
        <f t="shared" ca="1" si="97"/>
        <v>44.701758333333338</v>
      </c>
      <c r="H1120" s="4">
        <f t="shared" ca="1" si="97"/>
        <v>45.602691666666665</v>
      </c>
      <c r="I1120" s="4">
        <f t="shared" ca="1" si="97"/>
        <v>44.028416666666665</v>
      </c>
      <c r="J1120" s="4">
        <f t="shared" ca="1" si="97"/>
        <v>43.934141666666669</v>
      </c>
      <c r="K1120" s="4"/>
      <c r="L1120" s="5">
        <f t="shared" ca="1" si="98"/>
        <v>336.06969999999995</v>
      </c>
      <c r="M1120" s="5">
        <f t="shared" ca="1" si="98"/>
        <v>142.0401</v>
      </c>
      <c r="N1120" s="5">
        <f t="shared" ca="1" si="98"/>
        <v>58.217499999999994</v>
      </c>
      <c r="O1120" s="5">
        <f t="shared" ca="1" si="98"/>
        <v>4.4104999999999999</v>
      </c>
      <c r="P1120" s="5">
        <f t="shared" ca="1" si="98"/>
        <v>14.718800000000003</v>
      </c>
      <c r="Q1120" s="5">
        <f t="shared" ca="1" si="98"/>
        <v>231.81149999999997</v>
      </c>
      <c r="R1120" s="4"/>
      <c r="S1120" s="4"/>
    </row>
    <row r="1121" spans="1:19" ht="15" customHeight="1">
      <c r="A1121" s="3">
        <f t="shared" si="92"/>
        <v>2099</v>
      </c>
      <c r="B1121" s="4">
        <f t="shared" ca="1" si="97"/>
        <v>47.355091666666659</v>
      </c>
      <c r="C1121" s="4">
        <f t="shared" ca="1" si="97"/>
        <v>47.365533333333339</v>
      </c>
      <c r="D1121" s="4">
        <f t="shared" ca="1" si="97"/>
        <v>47.361658333333338</v>
      </c>
      <c r="E1121" s="4">
        <f t="shared" ca="1" si="97"/>
        <v>47.361766666666675</v>
      </c>
      <c r="F1121" s="4">
        <f t="shared" ca="1" si="97"/>
        <v>48.360624999999999</v>
      </c>
      <c r="G1121" s="4">
        <f t="shared" ca="1" si="97"/>
        <v>46.163350000000001</v>
      </c>
      <c r="H1121" s="4">
        <f t="shared" ca="1" si="97"/>
        <v>47.064283333333343</v>
      </c>
      <c r="I1121" s="4">
        <f t="shared" ca="1" si="97"/>
        <v>45.465875000000004</v>
      </c>
      <c r="J1121" s="4">
        <f t="shared" ca="1" si="97"/>
        <v>45.370891666666658</v>
      </c>
      <c r="K1121" s="4"/>
      <c r="L1121" s="5">
        <f t="shared" ca="1" si="98"/>
        <v>336.06969999999995</v>
      </c>
      <c r="M1121" s="5">
        <f t="shared" ca="1" si="98"/>
        <v>142.0401</v>
      </c>
      <c r="N1121" s="5">
        <f t="shared" ca="1" si="98"/>
        <v>58.217499999999994</v>
      </c>
      <c r="O1121" s="5">
        <f t="shared" ca="1" si="98"/>
        <v>4.4104999999999999</v>
      </c>
      <c r="P1121" s="5">
        <f t="shared" ca="1" si="98"/>
        <v>14.718800000000003</v>
      </c>
      <c r="Q1121" s="5">
        <f t="shared" ca="1" si="98"/>
        <v>231.81149999999997</v>
      </c>
      <c r="R1121" s="4"/>
      <c r="S1121" s="4"/>
    </row>
    <row r="1122" spans="1:19" ht="15" customHeight="1">
      <c r="A1122" s="3">
        <f t="shared" si="92"/>
        <v>2100</v>
      </c>
      <c r="B1122" s="4">
        <f t="shared" ca="1" si="97"/>
        <v>48.903558333333343</v>
      </c>
      <c r="C1122" s="4">
        <f t="shared" ca="1" si="97"/>
        <v>48.914000000000009</v>
      </c>
      <c r="D1122" s="4">
        <f t="shared" ca="1" si="97"/>
        <v>48.910116666666674</v>
      </c>
      <c r="E1122" s="4">
        <f t="shared" ca="1" si="97"/>
        <v>48.910233333333316</v>
      </c>
      <c r="F1122" s="4">
        <f t="shared" ca="1" si="97"/>
        <v>49.909083333333335</v>
      </c>
      <c r="G1122" s="4">
        <f t="shared" ca="1" si="97"/>
        <v>47.672733333333333</v>
      </c>
      <c r="H1122" s="4">
        <f t="shared" ca="1" si="97"/>
        <v>48.573675000000001</v>
      </c>
      <c r="I1122" s="4">
        <f t="shared" ca="1" si="97"/>
        <v>46.950375000000001</v>
      </c>
      <c r="J1122" s="4">
        <f t="shared" ca="1" si="97"/>
        <v>46.854633333333339</v>
      </c>
      <c r="K1122" s="4"/>
      <c r="L1122" s="5">
        <f t="shared" ca="1" si="98"/>
        <v>336.06969999999995</v>
      </c>
      <c r="M1122" s="5">
        <f t="shared" ca="1" si="98"/>
        <v>142.0401</v>
      </c>
      <c r="N1122" s="5">
        <f t="shared" ca="1" si="98"/>
        <v>58.217499999999994</v>
      </c>
      <c r="O1122" s="5">
        <f t="shared" ca="1" si="98"/>
        <v>4.4104999999999999</v>
      </c>
      <c r="P1122" s="5">
        <f t="shared" ca="1" si="98"/>
        <v>14.718800000000003</v>
      </c>
      <c r="Q1122" s="5">
        <f t="shared" ca="1" si="98"/>
        <v>231.81149999999997</v>
      </c>
      <c r="R1122" s="4"/>
      <c r="S1122" s="4"/>
    </row>
    <row r="1123" spans="1:19">
      <c r="A1123" s="3"/>
    </row>
    <row r="1124" spans="1:19">
      <c r="A1124" s="3"/>
    </row>
    <row r="1125" spans="1:19">
      <c r="A1125" s="3"/>
    </row>
    <row r="1126" spans="1:19">
      <c r="A1126" s="3"/>
    </row>
    <row r="1127" spans="1:19">
      <c r="A1127" s="3"/>
    </row>
    <row r="1128" spans="1:19">
      <c r="A1128" s="3"/>
    </row>
    <row r="1129" spans="1:19">
      <c r="A1129" s="3"/>
    </row>
    <row r="1130" spans="1:19">
      <c r="A1130" s="3"/>
    </row>
    <row r="1131" spans="1:19">
      <c r="A1131" s="3"/>
    </row>
    <row r="1132" spans="1:19">
      <c r="A1132" s="3"/>
    </row>
    <row r="1133" spans="1:19">
      <c r="A1133" s="3"/>
    </row>
    <row r="1134" spans="1:19">
      <c r="A1134" s="3"/>
    </row>
    <row r="1135" spans="1:19">
      <c r="A1135" s="3"/>
    </row>
    <row r="1136" spans="1:19">
      <c r="A1136" s="3"/>
    </row>
    <row r="1137" spans="1:1">
      <c r="A1137" s="3"/>
    </row>
  </sheetData>
  <mergeCells count="2">
    <mergeCell ref="L13:S13"/>
    <mergeCell ref="L14:S14"/>
  </mergeCells>
  <pageMargins left="0.25" right="0.25" top="0.5" bottom="0.5" header="0.25" footer="0.25"/>
  <pageSetup paperSize="119" scale="9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142875</xdr:rowOff>
                  </from>
                  <to>
                    <xdr:col>4</xdr:col>
                    <xdr:colOff>533400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142875</xdr:rowOff>
                  </from>
                  <to>
                    <xdr:col>6</xdr:col>
                    <xdr:colOff>257175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42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0" bestFit="1" customWidth="1"/>
    <col min="2" max="2" width="7.88671875" style="30" customWidth="1"/>
    <col min="3" max="7" width="11.33203125" style="29" customWidth="1"/>
    <col min="8" max="8" width="12.77734375" style="29" bestFit="1" customWidth="1"/>
    <col min="9" max="9" width="13.21875" style="29" customWidth="1"/>
    <col min="10" max="10" width="12.77734375" style="29" customWidth="1"/>
    <col min="11" max="11" width="7.77734375" style="29" customWidth="1"/>
    <col min="12" max="16384" width="7.109375" style="29"/>
  </cols>
  <sheetData>
    <row r="1" spans="1:10" ht="15.75">
      <c r="A1" s="81" t="s">
        <v>64</v>
      </c>
    </row>
    <row r="2" spans="1:10" ht="15.75">
      <c r="A2" s="81" t="s">
        <v>65</v>
      </c>
    </row>
    <row r="3" spans="1:10" ht="15.75">
      <c r="A3" s="81" t="s">
        <v>66</v>
      </c>
    </row>
    <row r="4" spans="1:10" ht="15.75">
      <c r="A4" s="81" t="s">
        <v>67</v>
      </c>
    </row>
    <row r="5" spans="1:10" ht="15.75">
      <c r="A5" s="81" t="s">
        <v>69</v>
      </c>
    </row>
    <row r="6" spans="1:10" ht="15.75">
      <c r="A6" s="81" t="s">
        <v>70</v>
      </c>
    </row>
    <row r="8" spans="1:10" ht="20.25">
      <c r="A8" s="28" t="s">
        <v>35</v>
      </c>
    </row>
    <row r="9" spans="1:10" ht="15.75">
      <c r="A9" s="27" t="s">
        <v>25</v>
      </c>
    </row>
    <row r="11" spans="1:10">
      <c r="A11" s="29"/>
    </row>
    <row r="12" spans="1:10" ht="15.75">
      <c r="A12" s="29"/>
      <c r="B12" s="27"/>
      <c r="C12" s="50"/>
      <c r="I12" s="21"/>
    </row>
    <row r="13" spans="1:10" ht="15.75">
      <c r="A13" s="27"/>
      <c r="B13" s="27"/>
      <c r="C13" s="50"/>
      <c r="I13" s="21"/>
    </row>
    <row r="14" spans="1:10" ht="15.75">
      <c r="A14" s="27"/>
      <c r="C14" s="83" t="s">
        <v>34</v>
      </c>
      <c r="D14" s="83"/>
      <c r="E14" s="83"/>
      <c r="F14" s="49"/>
      <c r="G14" s="48"/>
      <c r="H14" s="47"/>
      <c r="I14" s="46"/>
    </row>
    <row r="15" spans="1:10" ht="97.9" customHeight="1">
      <c r="A15" s="15"/>
      <c r="B15" s="15"/>
      <c r="C15" s="18" t="s">
        <v>20</v>
      </c>
      <c r="D15" s="45" t="s">
        <v>19</v>
      </c>
      <c r="E15" s="18" t="s">
        <v>33</v>
      </c>
      <c r="F15" s="18" t="s">
        <v>32</v>
      </c>
      <c r="G15" s="18" t="s">
        <v>16</v>
      </c>
      <c r="H15" s="44" t="s">
        <v>31</v>
      </c>
      <c r="I15" s="18" t="s">
        <v>30</v>
      </c>
      <c r="J15" s="18" t="s">
        <v>29</v>
      </c>
    </row>
    <row r="16" spans="1:10" ht="15.75">
      <c r="A16" s="17" t="s">
        <v>2</v>
      </c>
      <c r="B16" s="17" t="s">
        <v>28</v>
      </c>
      <c r="C16" s="17" t="s">
        <v>27</v>
      </c>
      <c r="D16" s="17" t="s">
        <v>27</v>
      </c>
      <c r="E16" s="17" t="s">
        <v>27</v>
      </c>
      <c r="F16" s="17" t="s">
        <v>27</v>
      </c>
      <c r="G16" s="17" t="s">
        <v>27</v>
      </c>
      <c r="H16" s="43" t="s">
        <v>27</v>
      </c>
      <c r="I16" s="17" t="s">
        <v>27</v>
      </c>
      <c r="J16" s="17" t="s">
        <v>27</v>
      </c>
    </row>
    <row r="17" spans="1:20" ht="15.75">
      <c r="A17" s="13">
        <v>42370</v>
      </c>
      <c r="B17" s="41">
        <v>31</v>
      </c>
      <c r="C17" s="32">
        <v>122.58</v>
      </c>
      <c r="D17" s="32">
        <v>297.94099999999997</v>
      </c>
      <c r="E17" s="38">
        <v>729.47900000000004</v>
      </c>
      <c r="F17" s="32">
        <v>1150</v>
      </c>
      <c r="G17" s="32">
        <v>100</v>
      </c>
      <c r="H17" s="40"/>
      <c r="I17" s="32">
        <v>695</v>
      </c>
      <c r="J17" s="32">
        <v>50</v>
      </c>
      <c r="K17" s="33"/>
      <c r="L17" s="42"/>
      <c r="M17" s="33"/>
      <c r="N17" s="33"/>
      <c r="O17" s="33"/>
      <c r="P17" s="33"/>
      <c r="Q17" s="33"/>
      <c r="R17" s="33"/>
      <c r="S17" s="33"/>
      <c r="T17" s="33"/>
    </row>
    <row r="18" spans="1:20" ht="15.75">
      <c r="A18" s="13">
        <v>42401</v>
      </c>
      <c r="B18" s="41">
        <v>29</v>
      </c>
      <c r="C18" s="32">
        <v>122.58</v>
      </c>
      <c r="D18" s="32">
        <v>297.94099999999997</v>
      </c>
      <c r="E18" s="38">
        <v>729.47900000000004</v>
      </c>
      <c r="F18" s="32">
        <v>1150</v>
      </c>
      <c r="G18" s="32">
        <v>100</v>
      </c>
      <c r="H18" s="40"/>
      <c r="I18" s="32">
        <v>695</v>
      </c>
      <c r="J18" s="32">
        <v>50</v>
      </c>
      <c r="K18" s="33"/>
      <c r="L18" s="42"/>
      <c r="M18" s="33"/>
      <c r="N18" s="33"/>
      <c r="O18" s="33"/>
      <c r="P18" s="33"/>
      <c r="Q18" s="33"/>
      <c r="R18" s="33"/>
      <c r="S18" s="33"/>
      <c r="T18" s="33"/>
    </row>
    <row r="19" spans="1:20" ht="15.75">
      <c r="A19" s="13">
        <v>42430</v>
      </c>
      <c r="B19" s="41">
        <v>31</v>
      </c>
      <c r="C19" s="32">
        <v>122.58</v>
      </c>
      <c r="D19" s="32">
        <v>297.94099999999997</v>
      </c>
      <c r="E19" s="38">
        <v>729.47900000000004</v>
      </c>
      <c r="F19" s="32">
        <v>1150</v>
      </c>
      <c r="G19" s="32">
        <v>100</v>
      </c>
      <c r="H19" s="40"/>
      <c r="I19" s="32">
        <v>695</v>
      </c>
      <c r="J19" s="32">
        <v>50</v>
      </c>
      <c r="K19" s="33"/>
      <c r="L19" s="42"/>
      <c r="M19" s="33"/>
      <c r="N19" s="33"/>
      <c r="O19" s="33"/>
      <c r="P19" s="33"/>
      <c r="Q19" s="33"/>
      <c r="R19" s="33"/>
      <c r="S19" s="33"/>
      <c r="T19" s="33"/>
    </row>
    <row r="20" spans="1:20" ht="15.75">
      <c r="A20" s="13">
        <v>42461</v>
      </c>
      <c r="B20" s="41">
        <v>30</v>
      </c>
      <c r="C20" s="32">
        <v>141.29300000000001</v>
      </c>
      <c r="D20" s="32">
        <v>267.99299999999999</v>
      </c>
      <c r="E20" s="38">
        <v>829.71400000000006</v>
      </c>
      <c r="F20" s="32">
        <v>1239</v>
      </c>
      <c r="G20" s="32">
        <v>100</v>
      </c>
      <c r="H20" s="40"/>
      <c r="I20" s="32">
        <v>695</v>
      </c>
      <c r="J20" s="32">
        <v>50</v>
      </c>
      <c r="K20" s="33"/>
      <c r="L20" s="42"/>
      <c r="M20" s="33"/>
      <c r="N20" s="33"/>
      <c r="O20" s="33"/>
      <c r="P20" s="33"/>
      <c r="Q20" s="33"/>
      <c r="R20" s="33"/>
      <c r="S20" s="33"/>
      <c r="T20" s="33"/>
    </row>
    <row r="21" spans="1:20" ht="15.75">
      <c r="A21" s="13">
        <v>42491</v>
      </c>
      <c r="B21" s="41">
        <v>31</v>
      </c>
      <c r="C21" s="32">
        <v>194.20500000000001</v>
      </c>
      <c r="D21" s="32">
        <v>267.46600000000001</v>
      </c>
      <c r="E21" s="38">
        <v>932.32899999999995</v>
      </c>
      <c r="F21" s="32">
        <v>1394</v>
      </c>
      <c r="G21" s="32">
        <v>75</v>
      </c>
      <c r="H21" s="40"/>
      <c r="I21" s="32">
        <v>695</v>
      </c>
      <c r="J21" s="32">
        <v>50</v>
      </c>
      <c r="K21" s="33"/>
      <c r="L21" s="42"/>
      <c r="M21" s="33"/>
      <c r="N21" s="33"/>
      <c r="O21" s="33"/>
      <c r="P21" s="33"/>
      <c r="Q21" s="33"/>
      <c r="R21" s="33"/>
      <c r="S21" s="33"/>
      <c r="T21" s="33"/>
    </row>
    <row r="22" spans="1:20" ht="15.75">
      <c r="A22" s="13">
        <v>42522</v>
      </c>
      <c r="B22" s="41">
        <v>30</v>
      </c>
      <c r="C22" s="32">
        <v>194.20500000000001</v>
      </c>
      <c r="D22" s="32">
        <v>267.46600000000001</v>
      </c>
      <c r="E22" s="38">
        <v>932.32899999999995</v>
      </c>
      <c r="F22" s="32">
        <v>1394</v>
      </c>
      <c r="G22" s="32">
        <v>50</v>
      </c>
      <c r="H22" s="40"/>
      <c r="I22" s="32">
        <v>695</v>
      </c>
      <c r="J22" s="32">
        <v>50</v>
      </c>
      <c r="K22" s="33"/>
      <c r="L22" s="42"/>
      <c r="M22" s="33"/>
      <c r="N22" s="33"/>
      <c r="O22" s="33"/>
      <c r="P22" s="33"/>
      <c r="Q22" s="33"/>
      <c r="R22" s="33"/>
      <c r="S22" s="33"/>
      <c r="T22" s="33"/>
    </row>
    <row r="23" spans="1:20" ht="15.75">
      <c r="A23" s="13">
        <v>42552</v>
      </c>
      <c r="B23" s="41">
        <v>31</v>
      </c>
      <c r="C23" s="32">
        <v>194.20500000000001</v>
      </c>
      <c r="D23" s="32">
        <v>267.46600000000001</v>
      </c>
      <c r="E23" s="38">
        <v>932.32899999999995</v>
      </c>
      <c r="F23" s="32">
        <v>1394</v>
      </c>
      <c r="G23" s="32">
        <v>50</v>
      </c>
      <c r="H23" s="40"/>
      <c r="I23" s="32">
        <v>695</v>
      </c>
      <c r="J23" s="32">
        <v>0</v>
      </c>
      <c r="K23" s="33"/>
      <c r="L23" s="42"/>
      <c r="M23" s="33"/>
      <c r="N23" s="33"/>
      <c r="O23" s="33"/>
      <c r="P23" s="33"/>
      <c r="Q23" s="33"/>
      <c r="R23" s="33"/>
      <c r="S23" s="33"/>
      <c r="T23" s="33"/>
    </row>
    <row r="24" spans="1:20" ht="15.75">
      <c r="A24" s="13">
        <v>42583</v>
      </c>
      <c r="B24" s="41">
        <v>31</v>
      </c>
      <c r="C24" s="32">
        <v>194.20500000000001</v>
      </c>
      <c r="D24" s="32">
        <v>267.46600000000001</v>
      </c>
      <c r="E24" s="38">
        <v>932.32899999999995</v>
      </c>
      <c r="F24" s="32">
        <v>1394</v>
      </c>
      <c r="G24" s="32">
        <v>50</v>
      </c>
      <c r="H24" s="40"/>
      <c r="I24" s="32">
        <v>695</v>
      </c>
      <c r="J24" s="32">
        <v>0</v>
      </c>
      <c r="K24" s="33"/>
      <c r="L24" s="42"/>
      <c r="M24" s="33"/>
      <c r="N24" s="33"/>
      <c r="O24" s="33"/>
      <c r="P24" s="33"/>
      <c r="Q24" s="33"/>
      <c r="R24" s="33"/>
      <c r="S24" s="33"/>
      <c r="T24" s="33"/>
    </row>
    <row r="25" spans="1:20" ht="15.75">
      <c r="A25" s="13">
        <v>42614</v>
      </c>
      <c r="B25" s="41">
        <v>30</v>
      </c>
      <c r="C25" s="32">
        <v>194.20500000000001</v>
      </c>
      <c r="D25" s="32">
        <v>267.46600000000001</v>
      </c>
      <c r="E25" s="38">
        <v>932.32899999999995</v>
      </c>
      <c r="F25" s="32">
        <v>1394</v>
      </c>
      <c r="G25" s="32">
        <v>50</v>
      </c>
      <c r="H25" s="40"/>
      <c r="I25" s="32">
        <v>695</v>
      </c>
      <c r="J25" s="32">
        <v>0</v>
      </c>
      <c r="K25" s="33"/>
      <c r="L25" s="42"/>
      <c r="M25" s="33"/>
      <c r="N25" s="33"/>
      <c r="O25" s="33"/>
      <c r="P25" s="33"/>
      <c r="Q25" s="33"/>
      <c r="R25" s="33"/>
      <c r="S25" s="33"/>
      <c r="T25" s="33"/>
    </row>
    <row r="26" spans="1:20" ht="15.75">
      <c r="A26" s="13">
        <v>42644</v>
      </c>
      <c r="B26" s="41">
        <v>31</v>
      </c>
      <c r="C26" s="32">
        <v>131.881</v>
      </c>
      <c r="D26" s="32">
        <v>277.16699999999997</v>
      </c>
      <c r="E26" s="38">
        <v>949.952</v>
      </c>
      <c r="F26" s="32">
        <v>1359</v>
      </c>
      <c r="G26" s="32">
        <v>75</v>
      </c>
      <c r="H26" s="40"/>
      <c r="I26" s="32">
        <v>695</v>
      </c>
      <c r="J26" s="32">
        <v>0</v>
      </c>
      <c r="K26" s="33"/>
      <c r="L26" s="42"/>
      <c r="M26" s="33"/>
      <c r="N26" s="33"/>
      <c r="O26" s="33"/>
      <c r="P26" s="33"/>
      <c r="Q26" s="33"/>
      <c r="R26" s="33"/>
      <c r="S26" s="33"/>
      <c r="T26" s="33"/>
    </row>
    <row r="27" spans="1:20" ht="15.75">
      <c r="A27" s="13">
        <v>42675</v>
      </c>
      <c r="B27" s="41">
        <v>30</v>
      </c>
      <c r="C27" s="32">
        <v>122.58</v>
      </c>
      <c r="D27" s="32">
        <v>297.94099999999997</v>
      </c>
      <c r="E27" s="38">
        <v>729.47900000000004</v>
      </c>
      <c r="F27" s="32">
        <v>1150</v>
      </c>
      <c r="G27" s="32">
        <v>100</v>
      </c>
      <c r="H27" s="40"/>
      <c r="I27" s="32">
        <v>695</v>
      </c>
      <c r="J27" s="32">
        <v>50</v>
      </c>
      <c r="K27" s="33"/>
      <c r="L27" s="42"/>
      <c r="M27" s="33"/>
      <c r="N27" s="33"/>
      <c r="O27" s="33"/>
      <c r="P27" s="33"/>
      <c r="Q27" s="33"/>
      <c r="R27" s="33"/>
      <c r="S27" s="33"/>
      <c r="T27" s="33"/>
    </row>
    <row r="28" spans="1:20" ht="15.75">
      <c r="A28" s="13">
        <v>42705</v>
      </c>
      <c r="B28" s="41">
        <v>31</v>
      </c>
      <c r="C28" s="32">
        <v>122.58</v>
      </c>
      <c r="D28" s="32">
        <v>297.94099999999997</v>
      </c>
      <c r="E28" s="38">
        <v>729.47900000000004</v>
      </c>
      <c r="F28" s="32">
        <v>1150</v>
      </c>
      <c r="G28" s="32">
        <v>100</v>
      </c>
      <c r="H28" s="40"/>
      <c r="I28" s="32">
        <v>695</v>
      </c>
      <c r="J28" s="32">
        <v>50</v>
      </c>
      <c r="K28" s="33"/>
      <c r="L28" s="42"/>
      <c r="M28" s="33"/>
      <c r="N28" s="33"/>
      <c r="O28" s="33"/>
      <c r="P28" s="33"/>
      <c r="Q28" s="33"/>
      <c r="R28" s="33"/>
      <c r="S28" s="33"/>
      <c r="T28" s="33"/>
    </row>
    <row r="29" spans="1:20" ht="15.75">
      <c r="A29" s="13">
        <v>42736</v>
      </c>
      <c r="B29" s="41">
        <v>31</v>
      </c>
      <c r="C29" s="32">
        <v>122.58</v>
      </c>
      <c r="D29" s="32">
        <v>297.94099999999997</v>
      </c>
      <c r="E29" s="38">
        <v>729.47900000000004</v>
      </c>
      <c r="F29" s="32">
        <v>1150</v>
      </c>
      <c r="G29" s="32">
        <v>100</v>
      </c>
      <c r="H29" s="40"/>
      <c r="I29" s="32">
        <v>695</v>
      </c>
      <c r="J29" s="32">
        <v>50</v>
      </c>
      <c r="K29" s="33"/>
      <c r="L29" s="42"/>
      <c r="M29" s="33"/>
      <c r="N29" s="33"/>
      <c r="O29" s="33"/>
      <c r="P29" s="33"/>
      <c r="Q29" s="33"/>
      <c r="R29" s="33"/>
      <c r="S29" s="33"/>
      <c r="T29" s="33"/>
    </row>
    <row r="30" spans="1:20" ht="15.75">
      <c r="A30" s="13">
        <v>42767</v>
      </c>
      <c r="B30" s="41">
        <v>28</v>
      </c>
      <c r="C30" s="32">
        <v>122.58</v>
      </c>
      <c r="D30" s="32">
        <v>297.94099999999997</v>
      </c>
      <c r="E30" s="38">
        <v>729.47900000000004</v>
      </c>
      <c r="F30" s="32">
        <v>1150</v>
      </c>
      <c r="G30" s="32">
        <v>100</v>
      </c>
      <c r="H30" s="40"/>
      <c r="I30" s="32">
        <v>695</v>
      </c>
      <c r="J30" s="32">
        <v>50</v>
      </c>
      <c r="K30" s="33"/>
      <c r="L30" s="42"/>
      <c r="M30" s="33"/>
      <c r="N30" s="33"/>
      <c r="O30" s="33"/>
      <c r="P30" s="33"/>
      <c r="Q30" s="33"/>
      <c r="R30" s="33"/>
      <c r="S30" s="33"/>
      <c r="T30" s="33"/>
    </row>
    <row r="31" spans="1:20" ht="15.75">
      <c r="A31" s="13">
        <v>42795</v>
      </c>
      <c r="B31" s="41">
        <v>31</v>
      </c>
      <c r="C31" s="32">
        <v>122.58</v>
      </c>
      <c r="D31" s="32">
        <v>297.94099999999997</v>
      </c>
      <c r="E31" s="38">
        <v>729.47900000000004</v>
      </c>
      <c r="F31" s="32">
        <v>1150</v>
      </c>
      <c r="G31" s="32">
        <v>100</v>
      </c>
      <c r="H31" s="40"/>
      <c r="I31" s="32">
        <v>695</v>
      </c>
      <c r="J31" s="32">
        <v>50</v>
      </c>
      <c r="K31" s="33"/>
      <c r="L31" s="42"/>
      <c r="M31" s="33"/>
      <c r="N31" s="33"/>
      <c r="O31" s="33"/>
      <c r="P31" s="33"/>
      <c r="Q31" s="33"/>
      <c r="R31" s="33"/>
      <c r="S31" s="33"/>
      <c r="T31" s="33"/>
    </row>
    <row r="32" spans="1:20" ht="15.75">
      <c r="A32" s="13">
        <v>42826</v>
      </c>
      <c r="B32" s="41">
        <v>30</v>
      </c>
      <c r="C32" s="32">
        <v>141.29300000000001</v>
      </c>
      <c r="D32" s="32">
        <v>267.99299999999999</v>
      </c>
      <c r="E32" s="38">
        <v>829.71400000000006</v>
      </c>
      <c r="F32" s="32">
        <v>1239</v>
      </c>
      <c r="G32" s="32">
        <v>100</v>
      </c>
      <c r="H32" s="40"/>
      <c r="I32" s="32">
        <v>695</v>
      </c>
      <c r="J32" s="32">
        <v>50</v>
      </c>
      <c r="K32" s="33"/>
      <c r="L32" s="42"/>
      <c r="M32" s="33"/>
      <c r="N32" s="33"/>
      <c r="O32" s="33"/>
      <c r="P32" s="33"/>
      <c r="Q32" s="33"/>
      <c r="R32" s="33"/>
      <c r="S32" s="33"/>
      <c r="T32" s="33"/>
    </row>
    <row r="33" spans="1:20" ht="15.75">
      <c r="A33" s="13">
        <v>42856</v>
      </c>
      <c r="B33" s="41">
        <v>31</v>
      </c>
      <c r="C33" s="32">
        <v>194.20500000000001</v>
      </c>
      <c r="D33" s="32">
        <v>267.46600000000001</v>
      </c>
      <c r="E33" s="38">
        <v>812.32899999999995</v>
      </c>
      <c r="F33" s="32">
        <v>1274</v>
      </c>
      <c r="G33" s="32">
        <v>75</v>
      </c>
      <c r="H33" s="40">
        <v>400</v>
      </c>
      <c r="I33" s="32">
        <v>695</v>
      </c>
      <c r="J33" s="32">
        <v>50</v>
      </c>
      <c r="K33" s="33"/>
      <c r="L33" s="42"/>
      <c r="M33" s="33"/>
      <c r="N33" s="33"/>
      <c r="O33" s="33"/>
      <c r="P33" s="33"/>
      <c r="Q33" s="33"/>
      <c r="R33" s="33"/>
      <c r="S33" s="33"/>
      <c r="T33" s="33"/>
    </row>
    <row r="34" spans="1:20" ht="15.75">
      <c r="A34" s="13">
        <v>42887</v>
      </c>
      <c r="B34" s="41">
        <v>30</v>
      </c>
      <c r="C34" s="32">
        <v>194.20500000000001</v>
      </c>
      <c r="D34" s="32">
        <v>267.46600000000001</v>
      </c>
      <c r="E34" s="38">
        <v>812.32899999999995</v>
      </c>
      <c r="F34" s="32">
        <v>1274</v>
      </c>
      <c r="G34" s="32">
        <v>50</v>
      </c>
      <c r="H34" s="40">
        <v>400</v>
      </c>
      <c r="I34" s="32">
        <v>695</v>
      </c>
      <c r="J34" s="32">
        <v>50</v>
      </c>
      <c r="K34" s="33"/>
      <c r="L34" s="42"/>
      <c r="M34" s="33"/>
      <c r="N34" s="33"/>
      <c r="O34" s="33"/>
      <c r="P34" s="33"/>
      <c r="Q34" s="33"/>
      <c r="R34" s="33"/>
      <c r="S34" s="33"/>
      <c r="T34" s="33"/>
    </row>
    <row r="35" spans="1:20" ht="15.75">
      <c r="A35" s="13">
        <v>42917</v>
      </c>
      <c r="B35" s="41">
        <v>31</v>
      </c>
      <c r="C35" s="32">
        <v>194.20500000000001</v>
      </c>
      <c r="D35" s="32">
        <v>267.46600000000001</v>
      </c>
      <c r="E35" s="38">
        <v>812.32899999999995</v>
      </c>
      <c r="F35" s="32">
        <v>1274</v>
      </c>
      <c r="G35" s="32">
        <v>50</v>
      </c>
      <c r="H35" s="40">
        <v>400</v>
      </c>
      <c r="I35" s="32">
        <v>695</v>
      </c>
      <c r="J35" s="32">
        <v>0</v>
      </c>
      <c r="K35" s="33"/>
      <c r="L35" s="42"/>
      <c r="M35" s="33"/>
      <c r="N35" s="33"/>
      <c r="O35" s="33"/>
      <c r="P35" s="33"/>
      <c r="Q35" s="33"/>
      <c r="R35" s="33"/>
      <c r="S35" s="33"/>
      <c r="T35" s="33"/>
    </row>
    <row r="36" spans="1:20" ht="15.75">
      <c r="A36" s="13">
        <v>42948</v>
      </c>
      <c r="B36" s="41">
        <v>31</v>
      </c>
      <c r="C36" s="32">
        <v>194.20500000000001</v>
      </c>
      <c r="D36" s="32">
        <v>267.46600000000001</v>
      </c>
      <c r="E36" s="38">
        <v>812.32899999999995</v>
      </c>
      <c r="F36" s="32">
        <v>1274</v>
      </c>
      <c r="G36" s="32">
        <v>50</v>
      </c>
      <c r="H36" s="40">
        <v>400</v>
      </c>
      <c r="I36" s="32">
        <v>695</v>
      </c>
      <c r="J36" s="32">
        <v>0</v>
      </c>
      <c r="K36" s="33"/>
      <c r="L36" s="42"/>
      <c r="M36" s="33"/>
      <c r="N36" s="33"/>
      <c r="O36" s="33"/>
      <c r="P36" s="33"/>
      <c r="Q36" s="33"/>
      <c r="R36" s="33"/>
      <c r="S36" s="33"/>
      <c r="T36" s="33"/>
    </row>
    <row r="37" spans="1:20" ht="15.75">
      <c r="A37" s="13">
        <v>42979</v>
      </c>
      <c r="B37" s="41">
        <v>30</v>
      </c>
      <c r="C37" s="32">
        <v>194.20500000000001</v>
      </c>
      <c r="D37" s="32">
        <v>267.46600000000001</v>
      </c>
      <c r="E37" s="38">
        <v>812.32899999999995</v>
      </c>
      <c r="F37" s="32">
        <v>1274</v>
      </c>
      <c r="G37" s="32">
        <v>50</v>
      </c>
      <c r="H37" s="40">
        <v>400</v>
      </c>
      <c r="I37" s="32">
        <v>695</v>
      </c>
      <c r="J37" s="32">
        <v>0</v>
      </c>
      <c r="K37" s="33"/>
      <c r="L37" s="42"/>
      <c r="M37" s="33"/>
      <c r="N37" s="33"/>
      <c r="O37" s="33"/>
      <c r="P37" s="33"/>
      <c r="Q37" s="33"/>
      <c r="R37" s="33"/>
      <c r="S37" s="33"/>
      <c r="T37" s="33"/>
    </row>
    <row r="38" spans="1:20" ht="15.75">
      <c r="A38" s="13">
        <v>43009</v>
      </c>
      <c r="B38" s="41">
        <v>31</v>
      </c>
      <c r="C38" s="32">
        <v>131.881</v>
      </c>
      <c r="D38" s="32">
        <v>277.16699999999997</v>
      </c>
      <c r="E38" s="38">
        <v>829.952</v>
      </c>
      <c r="F38" s="32">
        <v>1239</v>
      </c>
      <c r="G38" s="32">
        <v>75</v>
      </c>
      <c r="H38" s="40">
        <v>400</v>
      </c>
      <c r="I38" s="32">
        <v>695</v>
      </c>
      <c r="J38" s="32">
        <v>0</v>
      </c>
      <c r="K38" s="33"/>
      <c r="L38" s="42"/>
      <c r="M38" s="33"/>
      <c r="N38" s="33"/>
      <c r="O38" s="33"/>
      <c r="P38" s="33"/>
      <c r="Q38" s="33"/>
      <c r="R38" s="33"/>
      <c r="S38" s="33"/>
      <c r="T38" s="33"/>
    </row>
    <row r="39" spans="1:20" ht="15.75">
      <c r="A39" s="13">
        <v>43040</v>
      </c>
      <c r="B39" s="41">
        <v>30</v>
      </c>
      <c r="C39" s="32">
        <v>122.58</v>
      </c>
      <c r="D39" s="32">
        <v>297.94099999999997</v>
      </c>
      <c r="E39" s="38">
        <v>729.47900000000004</v>
      </c>
      <c r="F39" s="32">
        <v>1150</v>
      </c>
      <c r="G39" s="32">
        <v>100</v>
      </c>
      <c r="H39" s="40">
        <v>400</v>
      </c>
      <c r="I39" s="32">
        <v>695</v>
      </c>
      <c r="J39" s="32">
        <v>50</v>
      </c>
      <c r="K39" s="33"/>
      <c r="L39" s="42"/>
      <c r="M39" s="33"/>
      <c r="N39" s="33"/>
      <c r="O39" s="33"/>
      <c r="P39" s="33"/>
      <c r="Q39" s="33"/>
      <c r="R39" s="33"/>
      <c r="S39" s="33"/>
      <c r="T39" s="33"/>
    </row>
    <row r="40" spans="1:20" ht="15.75">
      <c r="A40" s="13">
        <v>43070</v>
      </c>
      <c r="B40" s="41">
        <v>31</v>
      </c>
      <c r="C40" s="32">
        <v>122.58</v>
      </c>
      <c r="D40" s="32">
        <v>297.94099999999997</v>
      </c>
      <c r="E40" s="38">
        <v>729.47900000000004</v>
      </c>
      <c r="F40" s="32">
        <v>1150</v>
      </c>
      <c r="G40" s="32">
        <v>100</v>
      </c>
      <c r="H40" s="40">
        <v>400</v>
      </c>
      <c r="I40" s="32">
        <v>695</v>
      </c>
      <c r="J40" s="32">
        <v>50</v>
      </c>
      <c r="K40" s="33"/>
      <c r="L40" s="42"/>
      <c r="M40" s="33"/>
      <c r="N40" s="33"/>
      <c r="O40" s="33"/>
      <c r="P40" s="33"/>
      <c r="Q40" s="33"/>
      <c r="R40" s="33"/>
      <c r="S40" s="33"/>
      <c r="T40" s="33"/>
    </row>
    <row r="41" spans="1:20" ht="15.75">
      <c r="A41" s="13">
        <v>43101</v>
      </c>
      <c r="B41" s="41">
        <v>31</v>
      </c>
      <c r="C41" s="32">
        <v>122.58</v>
      </c>
      <c r="D41" s="32">
        <v>297.94099999999997</v>
      </c>
      <c r="E41" s="38">
        <v>729.47900000000004</v>
      </c>
      <c r="F41" s="32">
        <v>1150</v>
      </c>
      <c r="G41" s="32">
        <v>100</v>
      </c>
      <c r="H41" s="40">
        <v>400</v>
      </c>
      <c r="I41" s="32">
        <v>695</v>
      </c>
      <c r="J41" s="32">
        <v>50</v>
      </c>
      <c r="K41" s="33"/>
      <c r="L41" s="42"/>
      <c r="M41" s="33"/>
      <c r="N41" s="33"/>
      <c r="O41" s="33"/>
      <c r="P41" s="33"/>
      <c r="Q41" s="33"/>
      <c r="R41" s="33"/>
      <c r="S41" s="33"/>
      <c r="T41" s="33"/>
    </row>
    <row r="42" spans="1:20" ht="15.75">
      <c r="A42" s="13">
        <v>43132</v>
      </c>
      <c r="B42" s="41">
        <v>28</v>
      </c>
      <c r="C42" s="32">
        <v>122.58</v>
      </c>
      <c r="D42" s="32">
        <v>297.94099999999997</v>
      </c>
      <c r="E42" s="38">
        <v>729.47900000000004</v>
      </c>
      <c r="F42" s="32">
        <v>1150</v>
      </c>
      <c r="G42" s="32">
        <v>100</v>
      </c>
      <c r="H42" s="40">
        <v>400</v>
      </c>
      <c r="I42" s="32">
        <v>695</v>
      </c>
      <c r="J42" s="32">
        <v>50</v>
      </c>
      <c r="K42" s="33"/>
      <c r="L42" s="42"/>
      <c r="M42" s="33"/>
      <c r="N42" s="33"/>
      <c r="O42" s="33"/>
      <c r="P42" s="33"/>
      <c r="Q42" s="33"/>
      <c r="R42" s="33"/>
      <c r="S42" s="33"/>
      <c r="T42" s="33"/>
    </row>
    <row r="43" spans="1:20" ht="15.75">
      <c r="A43" s="13">
        <v>43160</v>
      </c>
      <c r="B43" s="41">
        <v>31</v>
      </c>
      <c r="C43" s="32">
        <v>122.58</v>
      </c>
      <c r="D43" s="32">
        <v>297.94099999999997</v>
      </c>
      <c r="E43" s="38">
        <v>729.47900000000004</v>
      </c>
      <c r="F43" s="32">
        <v>1150</v>
      </c>
      <c r="G43" s="32">
        <v>100</v>
      </c>
      <c r="H43" s="40">
        <v>400</v>
      </c>
      <c r="I43" s="32">
        <v>695</v>
      </c>
      <c r="J43" s="32">
        <v>50</v>
      </c>
      <c r="K43" s="33"/>
      <c r="L43" s="42"/>
      <c r="M43" s="33"/>
      <c r="N43" s="33"/>
      <c r="O43" s="33"/>
      <c r="P43" s="33"/>
      <c r="Q43" s="33"/>
      <c r="R43" s="33"/>
      <c r="S43" s="33"/>
      <c r="T43" s="33"/>
    </row>
    <row r="44" spans="1:20" ht="15.75">
      <c r="A44" s="13">
        <v>43191</v>
      </c>
      <c r="B44" s="41">
        <v>30</v>
      </c>
      <c r="C44" s="32">
        <v>141.29300000000001</v>
      </c>
      <c r="D44" s="32">
        <v>267.99299999999999</v>
      </c>
      <c r="E44" s="38">
        <v>829.71400000000006</v>
      </c>
      <c r="F44" s="32">
        <v>1239</v>
      </c>
      <c r="G44" s="32">
        <v>100</v>
      </c>
      <c r="H44" s="40">
        <v>400</v>
      </c>
      <c r="I44" s="32">
        <v>695</v>
      </c>
      <c r="J44" s="32">
        <v>50</v>
      </c>
      <c r="K44" s="33"/>
      <c r="L44" s="42"/>
      <c r="M44" s="33"/>
      <c r="N44" s="33"/>
      <c r="O44" s="33"/>
      <c r="P44" s="33"/>
      <c r="Q44" s="33"/>
      <c r="R44" s="33"/>
      <c r="S44" s="33"/>
      <c r="T44" s="33"/>
    </row>
    <row r="45" spans="1:20" ht="15.75">
      <c r="A45" s="13">
        <v>43221</v>
      </c>
      <c r="B45" s="41">
        <v>31</v>
      </c>
      <c r="C45" s="32">
        <v>194.20500000000001</v>
      </c>
      <c r="D45" s="32">
        <v>267.46600000000001</v>
      </c>
      <c r="E45" s="38">
        <v>812.32899999999995</v>
      </c>
      <c r="F45" s="32">
        <v>1274</v>
      </c>
      <c r="G45" s="32">
        <v>75</v>
      </c>
      <c r="H45" s="40">
        <v>400</v>
      </c>
      <c r="I45" s="32">
        <v>695</v>
      </c>
      <c r="J45" s="32">
        <v>50</v>
      </c>
      <c r="K45" s="33"/>
      <c r="L45" s="42"/>
      <c r="M45" s="33"/>
      <c r="N45" s="33"/>
      <c r="O45" s="33"/>
      <c r="P45" s="33"/>
      <c r="Q45" s="33"/>
      <c r="R45" s="33"/>
      <c r="S45" s="33"/>
      <c r="T45" s="33"/>
    </row>
    <row r="46" spans="1:20" ht="15.75">
      <c r="A46" s="13">
        <v>43252</v>
      </c>
      <c r="B46" s="41">
        <v>30</v>
      </c>
      <c r="C46" s="32">
        <v>194.20500000000001</v>
      </c>
      <c r="D46" s="32">
        <v>267.46600000000001</v>
      </c>
      <c r="E46" s="38">
        <v>812.32899999999995</v>
      </c>
      <c r="F46" s="32">
        <v>1274</v>
      </c>
      <c r="G46" s="32">
        <v>50</v>
      </c>
      <c r="H46" s="40">
        <v>400</v>
      </c>
      <c r="I46" s="32">
        <v>695</v>
      </c>
      <c r="J46" s="32">
        <v>50</v>
      </c>
      <c r="K46" s="33"/>
      <c r="L46" s="42"/>
      <c r="M46" s="33"/>
      <c r="N46" s="33"/>
      <c r="O46" s="33"/>
      <c r="P46" s="33"/>
      <c r="Q46" s="33"/>
      <c r="R46" s="33"/>
      <c r="S46" s="33"/>
      <c r="T46" s="33"/>
    </row>
    <row r="47" spans="1:20" ht="15.75">
      <c r="A47" s="13">
        <v>43282</v>
      </c>
      <c r="B47" s="41">
        <v>31</v>
      </c>
      <c r="C47" s="32">
        <v>194.20500000000001</v>
      </c>
      <c r="D47" s="32">
        <v>267.46600000000001</v>
      </c>
      <c r="E47" s="38">
        <v>812.32899999999995</v>
      </c>
      <c r="F47" s="32">
        <v>1274</v>
      </c>
      <c r="G47" s="32">
        <v>50</v>
      </c>
      <c r="H47" s="40">
        <v>400</v>
      </c>
      <c r="I47" s="32">
        <v>695</v>
      </c>
      <c r="J47" s="32">
        <v>0</v>
      </c>
      <c r="K47" s="33"/>
      <c r="L47" s="42"/>
      <c r="M47" s="33"/>
      <c r="N47" s="33"/>
      <c r="O47" s="33"/>
      <c r="P47" s="33"/>
      <c r="Q47" s="33"/>
      <c r="R47" s="33"/>
      <c r="S47" s="33"/>
      <c r="T47" s="33"/>
    </row>
    <row r="48" spans="1:20" ht="15.75">
      <c r="A48" s="13">
        <v>43313</v>
      </c>
      <c r="B48" s="41">
        <v>31</v>
      </c>
      <c r="C48" s="32">
        <v>194.20500000000001</v>
      </c>
      <c r="D48" s="32">
        <v>267.46600000000001</v>
      </c>
      <c r="E48" s="38">
        <v>812.32899999999995</v>
      </c>
      <c r="F48" s="32">
        <v>1274</v>
      </c>
      <c r="G48" s="32">
        <v>50</v>
      </c>
      <c r="H48" s="40">
        <v>400</v>
      </c>
      <c r="I48" s="32">
        <v>695</v>
      </c>
      <c r="J48" s="32">
        <v>0</v>
      </c>
      <c r="K48" s="33"/>
      <c r="L48" s="42"/>
      <c r="M48" s="33"/>
      <c r="N48" s="33"/>
      <c r="O48" s="33"/>
      <c r="P48" s="33"/>
      <c r="Q48" s="33"/>
      <c r="R48" s="33"/>
      <c r="S48" s="33"/>
      <c r="T48" s="33"/>
    </row>
    <row r="49" spans="1:20" ht="15.75">
      <c r="A49" s="13">
        <v>43344</v>
      </c>
      <c r="B49" s="41">
        <v>30</v>
      </c>
      <c r="C49" s="32">
        <v>194.20500000000001</v>
      </c>
      <c r="D49" s="32">
        <v>267.46600000000001</v>
      </c>
      <c r="E49" s="38">
        <v>812.32899999999995</v>
      </c>
      <c r="F49" s="32">
        <v>1274</v>
      </c>
      <c r="G49" s="32">
        <v>50</v>
      </c>
      <c r="H49" s="40">
        <v>400</v>
      </c>
      <c r="I49" s="32">
        <v>695</v>
      </c>
      <c r="J49" s="32">
        <v>0</v>
      </c>
      <c r="K49" s="33"/>
      <c r="L49" s="42"/>
      <c r="M49" s="33"/>
      <c r="N49" s="33"/>
      <c r="O49" s="33"/>
      <c r="P49" s="33"/>
      <c r="Q49" s="33"/>
      <c r="R49" s="33"/>
      <c r="S49" s="33"/>
      <c r="T49" s="33"/>
    </row>
    <row r="50" spans="1:20" ht="15.75">
      <c r="A50" s="13">
        <v>43374</v>
      </c>
      <c r="B50" s="41">
        <v>31</v>
      </c>
      <c r="C50" s="32">
        <v>131.881</v>
      </c>
      <c r="D50" s="32">
        <v>277.16699999999997</v>
      </c>
      <c r="E50" s="38">
        <v>829.952</v>
      </c>
      <c r="F50" s="32">
        <v>1239</v>
      </c>
      <c r="G50" s="32">
        <v>75</v>
      </c>
      <c r="H50" s="40">
        <v>400</v>
      </c>
      <c r="I50" s="32">
        <v>695</v>
      </c>
      <c r="J50" s="32">
        <v>0</v>
      </c>
      <c r="K50" s="33"/>
      <c r="L50" s="42"/>
      <c r="M50" s="33"/>
      <c r="N50" s="33"/>
      <c r="O50" s="33"/>
      <c r="P50" s="33"/>
      <c r="Q50" s="33"/>
      <c r="R50" s="33"/>
      <c r="S50" s="33"/>
      <c r="T50" s="33"/>
    </row>
    <row r="51" spans="1:20" ht="15.75">
      <c r="A51" s="13">
        <v>43405</v>
      </c>
      <c r="B51" s="41">
        <v>30</v>
      </c>
      <c r="C51" s="32">
        <v>122.58</v>
      </c>
      <c r="D51" s="32">
        <v>297.94099999999997</v>
      </c>
      <c r="E51" s="38">
        <v>729.47900000000004</v>
      </c>
      <c r="F51" s="32">
        <v>1150</v>
      </c>
      <c r="G51" s="32">
        <v>100</v>
      </c>
      <c r="H51" s="40">
        <v>400</v>
      </c>
      <c r="I51" s="32">
        <v>695</v>
      </c>
      <c r="J51" s="32">
        <v>50</v>
      </c>
      <c r="K51" s="33"/>
      <c r="L51" s="42"/>
      <c r="M51" s="33"/>
      <c r="N51" s="33"/>
      <c r="O51" s="33"/>
      <c r="P51" s="33"/>
      <c r="Q51" s="33"/>
      <c r="R51" s="33"/>
      <c r="S51" s="33"/>
      <c r="T51" s="33"/>
    </row>
    <row r="52" spans="1:20" ht="15.75">
      <c r="A52" s="13">
        <v>43435</v>
      </c>
      <c r="B52" s="41">
        <v>31</v>
      </c>
      <c r="C52" s="32">
        <v>122.58</v>
      </c>
      <c r="D52" s="32">
        <v>297.94099999999997</v>
      </c>
      <c r="E52" s="38">
        <v>729.47900000000004</v>
      </c>
      <c r="F52" s="32">
        <v>1150</v>
      </c>
      <c r="G52" s="32">
        <v>100</v>
      </c>
      <c r="H52" s="40">
        <v>400</v>
      </c>
      <c r="I52" s="32">
        <v>695</v>
      </c>
      <c r="J52" s="32">
        <v>50</v>
      </c>
      <c r="K52" s="33"/>
      <c r="L52" s="42"/>
      <c r="M52" s="33"/>
      <c r="N52" s="33"/>
      <c r="O52" s="33"/>
      <c r="P52" s="33"/>
      <c r="Q52" s="33"/>
      <c r="R52" s="33"/>
      <c r="S52" s="33"/>
      <c r="T52" s="33"/>
    </row>
    <row r="53" spans="1:20" ht="15.75">
      <c r="A53" s="13">
        <v>43466</v>
      </c>
      <c r="B53" s="41">
        <v>31</v>
      </c>
      <c r="C53" s="32">
        <v>122.58</v>
      </c>
      <c r="D53" s="32">
        <v>297.94099999999997</v>
      </c>
      <c r="E53" s="38">
        <v>729.47900000000004</v>
      </c>
      <c r="F53" s="32">
        <v>1150</v>
      </c>
      <c r="G53" s="32">
        <v>100</v>
      </c>
      <c r="H53" s="40">
        <v>400</v>
      </c>
      <c r="I53" s="32">
        <v>695</v>
      </c>
      <c r="J53" s="32">
        <v>50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15.75">
      <c r="A54" s="13">
        <v>43497</v>
      </c>
      <c r="B54" s="41">
        <v>28</v>
      </c>
      <c r="C54" s="32">
        <v>122.58</v>
      </c>
      <c r="D54" s="32">
        <v>297.94099999999997</v>
      </c>
      <c r="E54" s="38">
        <v>729.47900000000004</v>
      </c>
      <c r="F54" s="32">
        <v>1150</v>
      </c>
      <c r="G54" s="32">
        <v>100</v>
      </c>
      <c r="H54" s="40">
        <v>400</v>
      </c>
      <c r="I54" s="32">
        <v>695</v>
      </c>
      <c r="J54" s="32">
        <v>50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15.75">
      <c r="A55" s="13">
        <v>43525</v>
      </c>
      <c r="B55" s="41">
        <v>31</v>
      </c>
      <c r="C55" s="32">
        <v>122.58</v>
      </c>
      <c r="D55" s="32">
        <v>297.94099999999997</v>
      </c>
      <c r="E55" s="38">
        <v>729.47900000000004</v>
      </c>
      <c r="F55" s="32">
        <v>1150</v>
      </c>
      <c r="G55" s="32">
        <v>100</v>
      </c>
      <c r="H55" s="40">
        <v>400</v>
      </c>
      <c r="I55" s="32">
        <v>695</v>
      </c>
      <c r="J55" s="32">
        <v>50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15.75">
      <c r="A56" s="13">
        <v>43556</v>
      </c>
      <c r="B56" s="41">
        <v>30</v>
      </c>
      <c r="C56" s="32">
        <v>141.29300000000001</v>
      </c>
      <c r="D56" s="32">
        <v>267.99299999999999</v>
      </c>
      <c r="E56" s="38">
        <v>829.71400000000006</v>
      </c>
      <c r="F56" s="32">
        <v>1239</v>
      </c>
      <c r="G56" s="32">
        <v>100</v>
      </c>
      <c r="H56" s="40">
        <v>400</v>
      </c>
      <c r="I56" s="32">
        <v>695</v>
      </c>
      <c r="J56" s="32">
        <v>50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15.75">
      <c r="A57" s="13">
        <v>43586</v>
      </c>
      <c r="B57" s="41">
        <v>31</v>
      </c>
      <c r="C57" s="32">
        <v>194.20500000000001</v>
      </c>
      <c r="D57" s="32">
        <v>267.46600000000001</v>
      </c>
      <c r="E57" s="38">
        <v>812.32899999999995</v>
      </c>
      <c r="F57" s="32">
        <v>1274</v>
      </c>
      <c r="G57" s="32">
        <v>75</v>
      </c>
      <c r="H57" s="40">
        <v>400</v>
      </c>
      <c r="I57" s="32">
        <v>695</v>
      </c>
      <c r="J57" s="32">
        <v>50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15.75">
      <c r="A58" s="13">
        <v>43617</v>
      </c>
      <c r="B58" s="41">
        <v>30</v>
      </c>
      <c r="C58" s="32">
        <v>194.20500000000001</v>
      </c>
      <c r="D58" s="32">
        <v>267.46600000000001</v>
      </c>
      <c r="E58" s="38">
        <v>812.32899999999995</v>
      </c>
      <c r="F58" s="32">
        <v>1274</v>
      </c>
      <c r="G58" s="32">
        <v>50</v>
      </c>
      <c r="H58" s="40">
        <v>400</v>
      </c>
      <c r="I58" s="32">
        <v>695</v>
      </c>
      <c r="J58" s="32">
        <v>50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15.75">
      <c r="A59" s="13">
        <v>43647</v>
      </c>
      <c r="B59" s="41">
        <v>31</v>
      </c>
      <c r="C59" s="32">
        <v>194.20500000000001</v>
      </c>
      <c r="D59" s="32">
        <v>267.46600000000001</v>
      </c>
      <c r="E59" s="38">
        <v>812.32899999999995</v>
      </c>
      <c r="F59" s="32">
        <v>1274</v>
      </c>
      <c r="G59" s="32">
        <v>50</v>
      </c>
      <c r="H59" s="40">
        <v>400</v>
      </c>
      <c r="I59" s="32">
        <v>695</v>
      </c>
      <c r="J59" s="32">
        <v>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15.75">
      <c r="A60" s="13">
        <v>43678</v>
      </c>
      <c r="B60" s="41">
        <v>31</v>
      </c>
      <c r="C60" s="32">
        <v>194.20500000000001</v>
      </c>
      <c r="D60" s="32">
        <v>267.46600000000001</v>
      </c>
      <c r="E60" s="38">
        <v>812.32899999999995</v>
      </c>
      <c r="F60" s="32">
        <v>1274</v>
      </c>
      <c r="G60" s="32">
        <v>50</v>
      </c>
      <c r="H60" s="40">
        <v>400</v>
      </c>
      <c r="I60" s="32">
        <v>695</v>
      </c>
      <c r="J60" s="32">
        <v>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15.75">
      <c r="A61" s="13">
        <v>43709</v>
      </c>
      <c r="B61" s="41">
        <v>30</v>
      </c>
      <c r="C61" s="32">
        <v>194.20500000000001</v>
      </c>
      <c r="D61" s="32">
        <v>267.46600000000001</v>
      </c>
      <c r="E61" s="38">
        <v>812.32899999999995</v>
      </c>
      <c r="F61" s="32">
        <v>1274</v>
      </c>
      <c r="G61" s="32">
        <v>50</v>
      </c>
      <c r="H61" s="40">
        <v>400</v>
      </c>
      <c r="I61" s="32">
        <v>695</v>
      </c>
      <c r="J61" s="32">
        <v>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15.75">
      <c r="A62" s="13">
        <v>43739</v>
      </c>
      <c r="B62" s="41">
        <v>31</v>
      </c>
      <c r="C62" s="32">
        <v>131.881</v>
      </c>
      <c r="D62" s="32">
        <v>277.16699999999997</v>
      </c>
      <c r="E62" s="38">
        <v>829.952</v>
      </c>
      <c r="F62" s="32">
        <v>1239</v>
      </c>
      <c r="G62" s="32">
        <v>75</v>
      </c>
      <c r="H62" s="40">
        <v>400</v>
      </c>
      <c r="I62" s="32">
        <v>695</v>
      </c>
      <c r="J62" s="32">
        <v>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.75">
      <c r="A63" s="13">
        <v>43770</v>
      </c>
      <c r="B63" s="41">
        <v>30</v>
      </c>
      <c r="C63" s="32">
        <v>122.58</v>
      </c>
      <c r="D63" s="32">
        <v>297.94099999999997</v>
      </c>
      <c r="E63" s="38">
        <v>729.47900000000004</v>
      </c>
      <c r="F63" s="32">
        <v>1150</v>
      </c>
      <c r="G63" s="32">
        <v>100</v>
      </c>
      <c r="H63" s="40">
        <v>400</v>
      </c>
      <c r="I63" s="32">
        <v>695</v>
      </c>
      <c r="J63" s="32">
        <v>50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15.75">
      <c r="A64" s="13">
        <v>43800</v>
      </c>
      <c r="B64" s="41">
        <v>31</v>
      </c>
      <c r="C64" s="32">
        <v>122.58</v>
      </c>
      <c r="D64" s="32">
        <v>297.94099999999997</v>
      </c>
      <c r="E64" s="38">
        <v>729.47900000000004</v>
      </c>
      <c r="F64" s="32">
        <v>1150</v>
      </c>
      <c r="G64" s="32">
        <v>100</v>
      </c>
      <c r="H64" s="40">
        <v>400</v>
      </c>
      <c r="I64" s="32">
        <v>695</v>
      </c>
      <c r="J64" s="32">
        <v>50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15.75">
      <c r="A65" s="13">
        <v>43831</v>
      </c>
      <c r="B65" s="41">
        <v>31</v>
      </c>
      <c r="C65" s="32">
        <v>122.58</v>
      </c>
      <c r="D65" s="32">
        <v>297.94099999999997</v>
      </c>
      <c r="E65" s="38">
        <v>729.47900000000004</v>
      </c>
      <c r="F65" s="32">
        <v>1150</v>
      </c>
      <c r="G65" s="32">
        <v>100</v>
      </c>
      <c r="H65" s="40">
        <v>400</v>
      </c>
      <c r="I65" s="32">
        <v>695</v>
      </c>
      <c r="J65" s="32">
        <v>50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15.75">
      <c r="A66" s="13">
        <v>43862</v>
      </c>
      <c r="B66" s="41">
        <v>29</v>
      </c>
      <c r="C66" s="32">
        <v>122.58</v>
      </c>
      <c r="D66" s="32">
        <v>297.94099999999997</v>
      </c>
      <c r="E66" s="38">
        <v>729.47900000000004</v>
      </c>
      <c r="F66" s="32">
        <v>1150</v>
      </c>
      <c r="G66" s="32">
        <v>100</v>
      </c>
      <c r="H66" s="40">
        <v>400</v>
      </c>
      <c r="I66" s="32">
        <v>695</v>
      </c>
      <c r="J66" s="32">
        <v>50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15.75">
      <c r="A67" s="13">
        <v>43891</v>
      </c>
      <c r="B67" s="41">
        <v>31</v>
      </c>
      <c r="C67" s="32">
        <v>122.58</v>
      </c>
      <c r="D67" s="32">
        <v>297.94099999999997</v>
      </c>
      <c r="E67" s="38">
        <v>729.47900000000004</v>
      </c>
      <c r="F67" s="32">
        <v>1150</v>
      </c>
      <c r="G67" s="32">
        <v>100</v>
      </c>
      <c r="H67" s="40">
        <v>400</v>
      </c>
      <c r="I67" s="32">
        <v>695</v>
      </c>
      <c r="J67" s="32">
        <v>50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15.75">
      <c r="A68" s="13">
        <v>43922</v>
      </c>
      <c r="B68" s="41">
        <v>30</v>
      </c>
      <c r="C68" s="32">
        <v>141.29300000000001</v>
      </c>
      <c r="D68" s="32">
        <v>267.99299999999999</v>
      </c>
      <c r="E68" s="38">
        <v>829.71400000000006</v>
      </c>
      <c r="F68" s="32">
        <v>1239</v>
      </c>
      <c r="G68" s="32">
        <v>100</v>
      </c>
      <c r="H68" s="40">
        <v>400</v>
      </c>
      <c r="I68" s="32">
        <v>695</v>
      </c>
      <c r="J68" s="32">
        <v>50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15.75">
      <c r="A69" s="13">
        <v>43952</v>
      </c>
      <c r="B69" s="41">
        <v>31</v>
      </c>
      <c r="C69" s="32">
        <v>194.20500000000001</v>
      </c>
      <c r="D69" s="32">
        <v>267.46600000000001</v>
      </c>
      <c r="E69" s="38">
        <v>812.32899999999995</v>
      </c>
      <c r="F69" s="32">
        <v>1274</v>
      </c>
      <c r="G69" s="32">
        <v>75</v>
      </c>
      <c r="H69" s="40">
        <v>600</v>
      </c>
      <c r="I69" s="32">
        <v>695</v>
      </c>
      <c r="J69" s="32">
        <v>50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15.75">
      <c r="A70" s="13">
        <v>43983</v>
      </c>
      <c r="B70" s="41">
        <v>30</v>
      </c>
      <c r="C70" s="32">
        <v>194.20500000000001</v>
      </c>
      <c r="D70" s="32">
        <v>267.46600000000001</v>
      </c>
      <c r="E70" s="38">
        <v>812.32899999999995</v>
      </c>
      <c r="F70" s="32">
        <v>1274</v>
      </c>
      <c r="G70" s="32">
        <v>50</v>
      </c>
      <c r="H70" s="40">
        <v>600</v>
      </c>
      <c r="I70" s="32">
        <v>695</v>
      </c>
      <c r="J70" s="32">
        <v>50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15.75">
      <c r="A71" s="13">
        <v>44013</v>
      </c>
      <c r="B71" s="41">
        <v>31</v>
      </c>
      <c r="C71" s="32">
        <v>194.20500000000001</v>
      </c>
      <c r="D71" s="32">
        <v>267.46600000000001</v>
      </c>
      <c r="E71" s="38">
        <v>812.32899999999995</v>
      </c>
      <c r="F71" s="32">
        <v>1274</v>
      </c>
      <c r="G71" s="32">
        <v>50</v>
      </c>
      <c r="H71" s="40">
        <v>600</v>
      </c>
      <c r="I71" s="32">
        <v>695</v>
      </c>
      <c r="J71" s="32">
        <v>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15.75">
      <c r="A72" s="13">
        <v>44044</v>
      </c>
      <c r="B72" s="41">
        <v>31</v>
      </c>
      <c r="C72" s="32">
        <v>194.20500000000001</v>
      </c>
      <c r="D72" s="32">
        <v>267.46600000000001</v>
      </c>
      <c r="E72" s="38">
        <v>812.32899999999995</v>
      </c>
      <c r="F72" s="32">
        <v>1274</v>
      </c>
      <c r="G72" s="32">
        <v>50</v>
      </c>
      <c r="H72" s="40">
        <v>600</v>
      </c>
      <c r="I72" s="32">
        <v>695</v>
      </c>
      <c r="J72" s="32">
        <v>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15.75">
      <c r="A73" s="13">
        <v>44075</v>
      </c>
      <c r="B73" s="41">
        <v>30</v>
      </c>
      <c r="C73" s="32">
        <v>194.20500000000001</v>
      </c>
      <c r="D73" s="32">
        <v>267.46600000000001</v>
      </c>
      <c r="E73" s="38">
        <v>812.32899999999995</v>
      </c>
      <c r="F73" s="32">
        <v>1274</v>
      </c>
      <c r="G73" s="32">
        <v>50</v>
      </c>
      <c r="H73" s="40">
        <v>600</v>
      </c>
      <c r="I73" s="32">
        <v>695</v>
      </c>
      <c r="J73" s="32">
        <v>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15.75">
      <c r="A74" s="13">
        <v>44105</v>
      </c>
      <c r="B74" s="41">
        <v>31</v>
      </c>
      <c r="C74" s="32">
        <v>131.881</v>
      </c>
      <c r="D74" s="32">
        <v>277.16699999999997</v>
      </c>
      <c r="E74" s="38">
        <v>829.952</v>
      </c>
      <c r="F74" s="32">
        <v>1239</v>
      </c>
      <c r="G74" s="32">
        <v>75</v>
      </c>
      <c r="H74" s="40">
        <v>600</v>
      </c>
      <c r="I74" s="32">
        <v>695</v>
      </c>
      <c r="J74" s="32">
        <v>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15.75">
      <c r="A75" s="13">
        <v>44136</v>
      </c>
      <c r="B75" s="41">
        <v>30</v>
      </c>
      <c r="C75" s="32">
        <v>122.58</v>
      </c>
      <c r="D75" s="32">
        <v>297.94099999999997</v>
      </c>
      <c r="E75" s="38">
        <v>729.47900000000004</v>
      </c>
      <c r="F75" s="32">
        <v>1150</v>
      </c>
      <c r="G75" s="32">
        <v>100</v>
      </c>
      <c r="H75" s="40">
        <v>600</v>
      </c>
      <c r="I75" s="32">
        <v>695</v>
      </c>
      <c r="J75" s="32">
        <v>50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15.75">
      <c r="A76" s="13">
        <v>44166</v>
      </c>
      <c r="B76" s="41">
        <v>31</v>
      </c>
      <c r="C76" s="32">
        <v>122.58</v>
      </c>
      <c r="D76" s="32">
        <v>297.94099999999997</v>
      </c>
      <c r="E76" s="38">
        <v>729.47900000000004</v>
      </c>
      <c r="F76" s="32">
        <v>1150</v>
      </c>
      <c r="G76" s="32">
        <v>100</v>
      </c>
      <c r="H76" s="40">
        <v>600</v>
      </c>
      <c r="I76" s="32">
        <v>695</v>
      </c>
      <c r="J76" s="32">
        <v>50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5.75">
      <c r="A77" s="13">
        <v>44197</v>
      </c>
      <c r="B77" s="41">
        <v>31</v>
      </c>
      <c r="C77" s="32">
        <v>122.58</v>
      </c>
      <c r="D77" s="32">
        <v>297.94099999999997</v>
      </c>
      <c r="E77" s="38">
        <v>729.47900000000004</v>
      </c>
      <c r="F77" s="32">
        <v>1150</v>
      </c>
      <c r="G77" s="32">
        <v>100</v>
      </c>
      <c r="H77" s="40">
        <v>600</v>
      </c>
      <c r="I77" s="32">
        <v>695</v>
      </c>
      <c r="J77" s="32">
        <v>50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5.75">
      <c r="A78" s="13">
        <v>44228</v>
      </c>
      <c r="B78" s="41">
        <v>28</v>
      </c>
      <c r="C78" s="32">
        <v>122.58</v>
      </c>
      <c r="D78" s="32">
        <v>297.94099999999997</v>
      </c>
      <c r="E78" s="38">
        <v>729.47900000000004</v>
      </c>
      <c r="F78" s="32">
        <v>1150</v>
      </c>
      <c r="G78" s="32">
        <v>100</v>
      </c>
      <c r="H78" s="40">
        <v>600</v>
      </c>
      <c r="I78" s="32">
        <v>695</v>
      </c>
      <c r="J78" s="32">
        <v>50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5.75">
      <c r="A79" s="13">
        <v>44256</v>
      </c>
      <c r="B79" s="41">
        <v>31</v>
      </c>
      <c r="C79" s="32">
        <v>122.58</v>
      </c>
      <c r="D79" s="32">
        <v>297.94099999999997</v>
      </c>
      <c r="E79" s="38">
        <v>729.47900000000004</v>
      </c>
      <c r="F79" s="32">
        <v>1150</v>
      </c>
      <c r="G79" s="32">
        <v>100</v>
      </c>
      <c r="H79" s="40">
        <v>600</v>
      </c>
      <c r="I79" s="32">
        <v>695</v>
      </c>
      <c r="J79" s="32">
        <v>50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15.75">
      <c r="A80" s="13">
        <v>44287</v>
      </c>
      <c r="B80" s="41">
        <v>30</v>
      </c>
      <c r="C80" s="32">
        <v>141.29300000000001</v>
      </c>
      <c r="D80" s="32">
        <v>267.99299999999999</v>
      </c>
      <c r="E80" s="38">
        <v>829.71400000000006</v>
      </c>
      <c r="F80" s="32">
        <v>1239</v>
      </c>
      <c r="G80" s="32">
        <v>100</v>
      </c>
      <c r="H80" s="40">
        <v>600</v>
      </c>
      <c r="I80" s="32">
        <v>695</v>
      </c>
      <c r="J80" s="32">
        <v>50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15.75">
      <c r="A81" s="13">
        <v>44317</v>
      </c>
      <c r="B81" s="41">
        <v>31</v>
      </c>
      <c r="C81" s="32">
        <v>194.20500000000001</v>
      </c>
      <c r="D81" s="32">
        <v>267.46600000000001</v>
      </c>
      <c r="E81" s="38">
        <v>812.32899999999995</v>
      </c>
      <c r="F81" s="32">
        <v>1274</v>
      </c>
      <c r="G81" s="32">
        <v>75</v>
      </c>
      <c r="H81" s="40">
        <v>600</v>
      </c>
      <c r="I81" s="32">
        <v>695</v>
      </c>
      <c r="J81" s="32">
        <v>50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15.75">
      <c r="A82" s="13">
        <v>44348</v>
      </c>
      <c r="B82" s="41">
        <v>30</v>
      </c>
      <c r="C82" s="32">
        <v>194.20500000000001</v>
      </c>
      <c r="D82" s="32">
        <v>267.46600000000001</v>
      </c>
      <c r="E82" s="38">
        <v>812.32899999999995</v>
      </c>
      <c r="F82" s="32">
        <v>1274</v>
      </c>
      <c r="G82" s="32">
        <v>50</v>
      </c>
      <c r="H82" s="40">
        <v>600</v>
      </c>
      <c r="I82" s="32">
        <v>695</v>
      </c>
      <c r="J82" s="32">
        <v>50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15.75">
      <c r="A83" s="13">
        <v>44378</v>
      </c>
      <c r="B83" s="41">
        <v>31</v>
      </c>
      <c r="C83" s="32">
        <v>194.20500000000001</v>
      </c>
      <c r="D83" s="32">
        <v>267.46600000000001</v>
      </c>
      <c r="E83" s="38">
        <v>812.32899999999995</v>
      </c>
      <c r="F83" s="32">
        <v>1274</v>
      </c>
      <c r="G83" s="32">
        <v>50</v>
      </c>
      <c r="H83" s="40">
        <v>600</v>
      </c>
      <c r="I83" s="32">
        <v>695</v>
      </c>
      <c r="J83" s="32">
        <v>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15.75">
      <c r="A84" s="13">
        <v>44409</v>
      </c>
      <c r="B84" s="41">
        <v>31</v>
      </c>
      <c r="C84" s="32">
        <v>194.20500000000001</v>
      </c>
      <c r="D84" s="32">
        <v>267.46600000000001</v>
      </c>
      <c r="E84" s="38">
        <v>812.32899999999995</v>
      </c>
      <c r="F84" s="32">
        <v>1274</v>
      </c>
      <c r="G84" s="32">
        <v>50</v>
      </c>
      <c r="H84" s="40">
        <v>600</v>
      </c>
      <c r="I84" s="32">
        <v>695</v>
      </c>
      <c r="J84" s="32">
        <v>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15.75">
      <c r="A85" s="13">
        <v>44440</v>
      </c>
      <c r="B85" s="41">
        <v>30</v>
      </c>
      <c r="C85" s="32">
        <v>194.20500000000001</v>
      </c>
      <c r="D85" s="32">
        <v>267.46600000000001</v>
      </c>
      <c r="E85" s="38">
        <v>812.32899999999995</v>
      </c>
      <c r="F85" s="32">
        <v>1274</v>
      </c>
      <c r="G85" s="32">
        <v>50</v>
      </c>
      <c r="H85" s="40">
        <v>600</v>
      </c>
      <c r="I85" s="32">
        <v>695</v>
      </c>
      <c r="J85" s="32">
        <v>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15.75">
      <c r="A86" s="13">
        <v>44470</v>
      </c>
      <c r="B86" s="41">
        <v>31</v>
      </c>
      <c r="C86" s="32">
        <v>131.881</v>
      </c>
      <c r="D86" s="32">
        <v>277.16699999999997</v>
      </c>
      <c r="E86" s="38">
        <v>829.952</v>
      </c>
      <c r="F86" s="32">
        <v>1239</v>
      </c>
      <c r="G86" s="32">
        <v>75</v>
      </c>
      <c r="H86" s="40">
        <v>600</v>
      </c>
      <c r="I86" s="32">
        <v>695</v>
      </c>
      <c r="J86" s="32">
        <v>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15.75">
      <c r="A87" s="13">
        <v>44501</v>
      </c>
      <c r="B87" s="41">
        <v>30</v>
      </c>
      <c r="C87" s="32">
        <v>122.58</v>
      </c>
      <c r="D87" s="32">
        <v>297.94099999999997</v>
      </c>
      <c r="E87" s="38">
        <v>729.47900000000004</v>
      </c>
      <c r="F87" s="32">
        <v>1150</v>
      </c>
      <c r="G87" s="32">
        <v>100</v>
      </c>
      <c r="H87" s="40">
        <v>600</v>
      </c>
      <c r="I87" s="32">
        <v>695</v>
      </c>
      <c r="J87" s="32">
        <v>50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15.75">
      <c r="A88" s="13">
        <v>44531</v>
      </c>
      <c r="B88" s="41">
        <v>31</v>
      </c>
      <c r="C88" s="32">
        <v>122.58</v>
      </c>
      <c r="D88" s="32">
        <v>297.94099999999997</v>
      </c>
      <c r="E88" s="38">
        <v>729.47900000000004</v>
      </c>
      <c r="F88" s="32">
        <v>1150</v>
      </c>
      <c r="G88" s="32">
        <v>100</v>
      </c>
      <c r="H88" s="40">
        <v>600</v>
      </c>
      <c r="I88" s="32">
        <v>695</v>
      </c>
      <c r="J88" s="32">
        <v>50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15.75">
      <c r="A89" s="13">
        <v>44562</v>
      </c>
      <c r="B89" s="41">
        <v>31</v>
      </c>
      <c r="C89" s="32">
        <v>122.58</v>
      </c>
      <c r="D89" s="32">
        <v>297.94099999999997</v>
      </c>
      <c r="E89" s="38">
        <v>729.47900000000004</v>
      </c>
      <c r="F89" s="32">
        <v>1150</v>
      </c>
      <c r="G89" s="32">
        <v>100</v>
      </c>
      <c r="H89" s="40">
        <v>600</v>
      </c>
      <c r="I89" s="32">
        <v>695</v>
      </c>
      <c r="J89" s="32">
        <v>50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15.75">
      <c r="A90" s="13">
        <v>44593</v>
      </c>
      <c r="B90" s="41">
        <v>28</v>
      </c>
      <c r="C90" s="32">
        <v>122.58</v>
      </c>
      <c r="D90" s="32">
        <v>297.94099999999997</v>
      </c>
      <c r="E90" s="38">
        <v>729.47900000000004</v>
      </c>
      <c r="F90" s="32">
        <v>1150</v>
      </c>
      <c r="G90" s="32">
        <v>100</v>
      </c>
      <c r="H90" s="40">
        <v>600</v>
      </c>
      <c r="I90" s="32">
        <v>695</v>
      </c>
      <c r="J90" s="32">
        <v>50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15.75">
      <c r="A91" s="13">
        <v>44621</v>
      </c>
      <c r="B91" s="41">
        <v>31</v>
      </c>
      <c r="C91" s="32">
        <v>122.58</v>
      </c>
      <c r="D91" s="32">
        <v>297.94099999999997</v>
      </c>
      <c r="E91" s="38">
        <v>729.47900000000004</v>
      </c>
      <c r="F91" s="32">
        <v>1150</v>
      </c>
      <c r="G91" s="32">
        <v>100</v>
      </c>
      <c r="H91" s="40">
        <v>600</v>
      </c>
      <c r="I91" s="32">
        <v>695</v>
      </c>
      <c r="J91" s="32">
        <v>50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15.75">
      <c r="A92" s="13">
        <v>44652</v>
      </c>
      <c r="B92" s="41">
        <v>30</v>
      </c>
      <c r="C92" s="32">
        <v>141.29300000000001</v>
      </c>
      <c r="D92" s="32">
        <v>267.99299999999999</v>
      </c>
      <c r="E92" s="38">
        <v>829.71400000000006</v>
      </c>
      <c r="F92" s="32">
        <v>1239</v>
      </c>
      <c r="G92" s="32">
        <v>100</v>
      </c>
      <c r="H92" s="40">
        <v>600</v>
      </c>
      <c r="I92" s="32">
        <v>695</v>
      </c>
      <c r="J92" s="32">
        <v>50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15.75">
      <c r="A93" s="13">
        <v>44682</v>
      </c>
      <c r="B93" s="41">
        <v>31</v>
      </c>
      <c r="C93" s="32">
        <v>194.20500000000001</v>
      </c>
      <c r="D93" s="32">
        <v>267.46600000000001</v>
      </c>
      <c r="E93" s="38">
        <v>812.32899999999995</v>
      </c>
      <c r="F93" s="32">
        <v>1274</v>
      </c>
      <c r="G93" s="32">
        <v>75</v>
      </c>
      <c r="H93" s="40">
        <v>600</v>
      </c>
      <c r="I93" s="32">
        <v>695</v>
      </c>
      <c r="J93" s="32">
        <v>50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15.75">
      <c r="A94" s="13">
        <v>44713</v>
      </c>
      <c r="B94" s="41">
        <v>30</v>
      </c>
      <c r="C94" s="32">
        <v>194.20500000000001</v>
      </c>
      <c r="D94" s="32">
        <v>267.46600000000001</v>
      </c>
      <c r="E94" s="38">
        <v>812.32899999999995</v>
      </c>
      <c r="F94" s="32">
        <v>1274</v>
      </c>
      <c r="G94" s="32">
        <v>50</v>
      </c>
      <c r="H94" s="40">
        <v>600</v>
      </c>
      <c r="I94" s="32">
        <v>695</v>
      </c>
      <c r="J94" s="32">
        <v>50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15.75">
      <c r="A95" s="13">
        <v>44743</v>
      </c>
      <c r="B95" s="41">
        <v>31</v>
      </c>
      <c r="C95" s="32">
        <v>194.20500000000001</v>
      </c>
      <c r="D95" s="32">
        <v>267.46600000000001</v>
      </c>
      <c r="E95" s="38">
        <v>812.32899999999995</v>
      </c>
      <c r="F95" s="32">
        <v>1274</v>
      </c>
      <c r="G95" s="32">
        <v>50</v>
      </c>
      <c r="H95" s="40">
        <v>600</v>
      </c>
      <c r="I95" s="32">
        <v>695</v>
      </c>
      <c r="J95" s="32">
        <v>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15.75">
      <c r="A96" s="13">
        <v>44774</v>
      </c>
      <c r="B96" s="41">
        <v>31</v>
      </c>
      <c r="C96" s="32">
        <v>194.20500000000001</v>
      </c>
      <c r="D96" s="32">
        <v>267.46600000000001</v>
      </c>
      <c r="E96" s="38">
        <v>812.32899999999995</v>
      </c>
      <c r="F96" s="32">
        <v>1274</v>
      </c>
      <c r="G96" s="32">
        <v>50</v>
      </c>
      <c r="H96" s="40">
        <v>600</v>
      </c>
      <c r="I96" s="32">
        <v>695</v>
      </c>
      <c r="J96" s="32">
        <v>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15.75">
      <c r="A97" s="13">
        <v>44805</v>
      </c>
      <c r="B97" s="41">
        <v>30</v>
      </c>
      <c r="C97" s="32">
        <v>194.20500000000001</v>
      </c>
      <c r="D97" s="32">
        <v>267.46600000000001</v>
      </c>
      <c r="E97" s="38">
        <v>812.32899999999995</v>
      </c>
      <c r="F97" s="32">
        <v>1274</v>
      </c>
      <c r="G97" s="32">
        <v>50</v>
      </c>
      <c r="H97" s="40">
        <v>600</v>
      </c>
      <c r="I97" s="32">
        <v>695</v>
      </c>
      <c r="J97" s="32">
        <v>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15.75">
      <c r="A98" s="13">
        <v>44835</v>
      </c>
      <c r="B98" s="41">
        <v>31</v>
      </c>
      <c r="C98" s="32">
        <v>131.881</v>
      </c>
      <c r="D98" s="32">
        <v>277.16699999999997</v>
      </c>
      <c r="E98" s="38">
        <v>829.952</v>
      </c>
      <c r="F98" s="32">
        <v>1239</v>
      </c>
      <c r="G98" s="32">
        <v>75</v>
      </c>
      <c r="H98" s="40">
        <v>600</v>
      </c>
      <c r="I98" s="32">
        <v>695</v>
      </c>
      <c r="J98" s="32">
        <v>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15.75">
      <c r="A99" s="13">
        <v>44866</v>
      </c>
      <c r="B99" s="41">
        <v>30</v>
      </c>
      <c r="C99" s="32">
        <v>122.58</v>
      </c>
      <c r="D99" s="32">
        <v>297.94099999999997</v>
      </c>
      <c r="E99" s="38">
        <v>729.47900000000004</v>
      </c>
      <c r="F99" s="32">
        <v>1150</v>
      </c>
      <c r="G99" s="32">
        <v>100</v>
      </c>
      <c r="H99" s="40">
        <v>600</v>
      </c>
      <c r="I99" s="32">
        <v>695</v>
      </c>
      <c r="J99" s="32">
        <v>50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15.75">
      <c r="A100" s="13">
        <v>44896</v>
      </c>
      <c r="B100" s="41">
        <v>31</v>
      </c>
      <c r="C100" s="32">
        <v>122.58</v>
      </c>
      <c r="D100" s="32">
        <v>297.94099999999997</v>
      </c>
      <c r="E100" s="38">
        <v>729.47900000000004</v>
      </c>
      <c r="F100" s="32">
        <v>1150</v>
      </c>
      <c r="G100" s="32">
        <v>100</v>
      </c>
      <c r="H100" s="40">
        <v>600</v>
      </c>
      <c r="I100" s="32">
        <v>695</v>
      </c>
      <c r="J100" s="32">
        <v>50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15.75">
      <c r="A101" s="13">
        <v>44927</v>
      </c>
      <c r="B101" s="41">
        <v>31</v>
      </c>
      <c r="C101" s="32">
        <v>122.58</v>
      </c>
      <c r="D101" s="32">
        <v>297.94099999999997</v>
      </c>
      <c r="E101" s="38">
        <v>729.47900000000004</v>
      </c>
      <c r="F101" s="32">
        <v>1150</v>
      </c>
      <c r="G101" s="32">
        <v>100</v>
      </c>
      <c r="H101" s="40">
        <v>600</v>
      </c>
      <c r="I101" s="32">
        <v>695</v>
      </c>
      <c r="J101" s="32">
        <v>50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15.75">
      <c r="A102" s="13">
        <v>44958</v>
      </c>
      <c r="B102" s="41">
        <v>28</v>
      </c>
      <c r="C102" s="32">
        <v>122.58</v>
      </c>
      <c r="D102" s="32">
        <v>297.94099999999997</v>
      </c>
      <c r="E102" s="38">
        <v>729.47900000000004</v>
      </c>
      <c r="F102" s="32">
        <v>1150</v>
      </c>
      <c r="G102" s="32">
        <v>100</v>
      </c>
      <c r="H102" s="40">
        <v>600</v>
      </c>
      <c r="I102" s="32">
        <v>695</v>
      </c>
      <c r="J102" s="32">
        <v>50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15.75">
      <c r="A103" s="13">
        <v>44986</v>
      </c>
      <c r="B103" s="41">
        <v>31</v>
      </c>
      <c r="C103" s="32">
        <v>122.58</v>
      </c>
      <c r="D103" s="32">
        <v>297.94099999999997</v>
      </c>
      <c r="E103" s="38">
        <v>729.47900000000004</v>
      </c>
      <c r="F103" s="32">
        <v>1150</v>
      </c>
      <c r="G103" s="32">
        <v>100</v>
      </c>
      <c r="H103" s="40">
        <v>600</v>
      </c>
      <c r="I103" s="32">
        <v>695</v>
      </c>
      <c r="J103" s="32">
        <v>50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15.75">
      <c r="A104" s="13">
        <v>45017</v>
      </c>
      <c r="B104" s="41">
        <v>30</v>
      </c>
      <c r="C104" s="32">
        <v>141.29300000000001</v>
      </c>
      <c r="D104" s="32">
        <v>267.99299999999999</v>
      </c>
      <c r="E104" s="38">
        <v>829.71400000000006</v>
      </c>
      <c r="F104" s="32">
        <v>1239</v>
      </c>
      <c r="G104" s="32">
        <v>100</v>
      </c>
      <c r="H104" s="40">
        <v>600</v>
      </c>
      <c r="I104" s="32">
        <v>695</v>
      </c>
      <c r="J104" s="32">
        <v>50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15.75">
      <c r="A105" s="13">
        <v>45047</v>
      </c>
      <c r="B105" s="41">
        <v>31</v>
      </c>
      <c r="C105" s="32">
        <v>194.20500000000001</v>
      </c>
      <c r="D105" s="32">
        <v>267.46600000000001</v>
      </c>
      <c r="E105" s="38">
        <v>812.32899999999995</v>
      </c>
      <c r="F105" s="32">
        <v>1274</v>
      </c>
      <c r="G105" s="32">
        <v>75</v>
      </c>
      <c r="H105" s="40">
        <v>600</v>
      </c>
      <c r="I105" s="32">
        <v>695</v>
      </c>
      <c r="J105" s="32">
        <v>50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15.75">
      <c r="A106" s="13">
        <v>45078</v>
      </c>
      <c r="B106" s="41">
        <v>30</v>
      </c>
      <c r="C106" s="32">
        <v>194.20500000000001</v>
      </c>
      <c r="D106" s="32">
        <v>267.46600000000001</v>
      </c>
      <c r="E106" s="38">
        <v>812.32899999999995</v>
      </c>
      <c r="F106" s="32">
        <v>1274</v>
      </c>
      <c r="G106" s="32">
        <v>50</v>
      </c>
      <c r="H106" s="40">
        <v>600</v>
      </c>
      <c r="I106" s="32">
        <v>695</v>
      </c>
      <c r="J106" s="32">
        <v>50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15.75">
      <c r="A107" s="13">
        <v>45108</v>
      </c>
      <c r="B107" s="41">
        <v>31</v>
      </c>
      <c r="C107" s="32">
        <v>194.20500000000001</v>
      </c>
      <c r="D107" s="32">
        <v>267.46600000000001</v>
      </c>
      <c r="E107" s="38">
        <v>812.32899999999995</v>
      </c>
      <c r="F107" s="32">
        <v>1274</v>
      </c>
      <c r="G107" s="32">
        <v>50</v>
      </c>
      <c r="H107" s="40">
        <v>600</v>
      </c>
      <c r="I107" s="32">
        <v>695</v>
      </c>
      <c r="J107" s="32">
        <v>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15.75">
      <c r="A108" s="13">
        <v>45139</v>
      </c>
      <c r="B108" s="41">
        <v>31</v>
      </c>
      <c r="C108" s="32">
        <v>194.20500000000001</v>
      </c>
      <c r="D108" s="32">
        <v>267.46600000000001</v>
      </c>
      <c r="E108" s="38">
        <v>812.32899999999995</v>
      </c>
      <c r="F108" s="32">
        <v>1274</v>
      </c>
      <c r="G108" s="32">
        <v>50</v>
      </c>
      <c r="H108" s="40">
        <v>600</v>
      </c>
      <c r="I108" s="32">
        <v>695</v>
      </c>
      <c r="J108" s="32">
        <v>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15.75">
      <c r="A109" s="13">
        <v>45170</v>
      </c>
      <c r="B109" s="41">
        <v>30</v>
      </c>
      <c r="C109" s="32">
        <v>194.20500000000001</v>
      </c>
      <c r="D109" s="32">
        <v>267.46600000000001</v>
      </c>
      <c r="E109" s="38">
        <v>812.32899999999995</v>
      </c>
      <c r="F109" s="32">
        <v>1274</v>
      </c>
      <c r="G109" s="32">
        <v>50</v>
      </c>
      <c r="H109" s="40">
        <v>600</v>
      </c>
      <c r="I109" s="32">
        <v>695</v>
      </c>
      <c r="J109" s="32">
        <v>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15.75">
      <c r="A110" s="13">
        <v>45200</v>
      </c>
      <c r="B110" s="41">
        <v>31</v>
      </c>
      <c r="C110" s="32">
        <v>131.881</v>
      </c>
      <c r="D110" s="32">
        <v>277.16699999999997</v>
      </c>
      <c r="E110" s="38">
        <v>829.952</v>
      </c>
      <c r="F110" s="32">
        <v>1239</v>
      </c>
      <c r="G110" s="32">
        <v>75</v>
      </c>
      <c r="H110" s="40">
        <v>600</v>
      </c>
      <c r="I110" s="32">
        <v>695</v>
      </c>
      <c r="J110" s="32">
        <v>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15.75">
      <c r="A111" s="13">
        <v>45231</v>
      </c>
      <c r="B111" s="41">
        <v>30</v>
      </c>
      <c r="C111" s="32">
        <v>122.58</v>
      </c>
      <c r="D111" s="32">
        <v>297.94099999999997</v>
      </c>
      <c r="E111" s="38">
        <v>729.47900000000004</v>
      </c>
      <c r="F111" s="32">
        <v>1150</v>
      </c>
      <c r="G111" s="32">
        <v>100</v>
      </c>
      <c r="H111" s="40">
        <v>600</v>
      </c>
      <c r="I111" s="32">
        <v>695</v>
      </c>
      <c r="J111" s="32">
        <v>50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15.75">
      <c r="A112" s="13">
        <v>45261</v>
      </c>
      <c r="B112" s="41">
        <v>31</v>
      </c>
      <c r="C112" s="32">
        <v>122.58</v>
      </c>
      <c r="D112" s="32">
        <v>297.94099999999997</v>
      </c>
      <c r="E112" s="38">
        <v>729.47900000000004</v>
      </c>
      <c r="F112" s="32">
        <v>1150</v>
      </c>
      <c r="G112" s="32">
        <v>100</v>
      </c>
      <c r="H112" s="40">
        <v>600</v>
      </c>
      <c r="I112" s="32">
        <v>695</v>
      </c>
      <c r="J112" s="32">
        <v>50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15.75">
      <c r="A113" s="13">
        <v>45292</v>
      </c>
      <c r="B113" s="41">
        <v>31</v>
      </c>
      <c r="C113" s="32">
        <v>122.58</v>
      </c>
      <c r="D113" s="32">
        <v>297.94099999999997</v>
      </c>
      <c r="E113" s="38">
        <v>729.47900000000004</v>
      </c>
      <c r="F113" s="32">
        <v>1150</v>
      </c>
      <c r="G113" s="32">
        <v>100</v>
      </c>
      <c r="H113" s="40">
        <v>600</v>
      </c>
      <c r="I113" s="32">
        <v>695</v>
      </c>
      <c r="J113" s="32">
        <v>50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.75">
      <c r="A114" s="13">
        <v>45323</v>
      </c>
      <c r="B114" s="41">
        <v>29</v>
      </c>
      <c r="C114" s="32">
        <v>122.58</v>
      </c>
      <c r="D114" s="32">
        <v>297.94099999999997</v>
      </c>
      <c r="E114" s="38">
        <v>729.47900000000004</v>
      </c>
      <c r="F114" s="32">
        <v>1150</v>
      </c>
      <c r="G114" s="32">
        <v>100</v>
      </c>
      <c r="H114" s="40">
        <v>600</v>
      </c>
      <c r="I114" s="32">
        <v>695</v>
      </c>
      <c r="J114" s="32">
        <v>50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15.75">
      <c r="A115" s="13">
        <v>45352</v>
      </c>
      <c r="B115" s="41">
        <v>31</v>
      </c>
      <c r="C115" s="32">
        <v>122.58</v>
      </c>
      <c r="D115" s="32">
        <v>297.94099999999997</v>
      </c>
      <c r="E115" s="38">
        <v>729.47900000000004</v>
      </c>
      <c r="F115" s="32">
        <v>1150</v>
      </c>
      <c r="G115" s="32">
        <v>100</v>
      </c>
      <c r="H115" s="40">
        <v>600</v>
      </c>
      <c r="I115" s="32">
        <v>695</v>
      </c>
      <c r="J115" s="32">
        <v>50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15.75">
      <c r="A116" s="13">
        <v>45383</v>
      </c>
      <c r="B116" s="41">
        <v>30</v>
      </c>
      <c r="C116" s="32">
        <v>141.29300000000001</v>
      </c>
      <c r="D116" s="32">
        <v>267.99299999999999</v>
      </c>
      <c r="E116" s="38">
        <v>829.71400000000006</v>
      </c>
      <c r="F116" s="32">
        <v>1239</v>
      </c>
      <c r="G116" s="32">
        <v>100</v>
      </c>
      <c r="H116" s="40">
        <v>600</v>
      </c>
      <c r="I116" s="32">
        <v>695</v>
      </c>
      <c r="J116" s="32">
        <v>50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15.75">
      <c r="A117" s="13">
        <v>45413</v>
      </c>
      <c r="B117" s="41">
        <v>31</v>
      </c>
      <c r="C117" s="32">
        <v>194.20500000000001</v>
      </c>
      <c r="D117" s="32">
        <v>267.46600000000001</v>
      </c>
      <c r="E117" s="38">
        <v>812.32899999999995</v>
      </c>
      <c r="F117" s="32">
        <v>1274</v>
      </c>
      <c r="G117" s="32">
        <v>75</v>
      </c>
      <c r="H117" s="40">
        <v>600</v>
      </c>
      <c r="I117" s="32">
        <v>695</v>
      </c>
      <c r="J117" s="32">
        <v>50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15.75">
      <c r="A118" s="13">
        <v>45444</v>
      </c>
      <c r="B118" s="41">
        <v>30</v>
      </c>
      <c r="C118" s="32">
        <v>194.20500000000001</v>
      </c>
      <c r="D118" s="32">
        <v>267.46600000000001</v>
      </c>
      <c r="E118" s="38">
        <v>812.32899999999995</v>
      </c>
      <c r="F118" s="32">
        <v>1274</v>
      </c>
      <c r="G118" s="32">
        <v>50</v>
      </c>
      <c r="H118" s="40">
        <v>600</v>
      </c>
      <c r="I118" s="32">
        <v>695</v>
      </c>
      <c r="J118" s="32">
        <v>50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15.75">
      <c r="A119" s="13">
        <v>45474</v>
      </c>
      <c r="B119" s="41">
        <v>31</v>
      </c>
      <c r="C119" s="32">
        <v>194.20500000000001</v>
      </c>
      <c r="D119" s="32">
        <v>267.46600000000001</v>
      </c>
      <c r="E119" s="38">
        <v>812.32899999999995</v>
      </c>
      <c r="F119" s="32">
        <v>1274</v>
      </c>
      <c r="G119" s="32">
        <v>50</v>
      </c>
      <c r="H119" s="40">
        <v>600</v>
      </c>
      <c r="I119" s="32">
        <v>695</v>
      </c>
      <c r="J119" s="32">
        <v>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5.75">
      <c r="A120" s="13">
        <v>45505</v>
      </c>
      <c r="B120" s="41">
        <v>31</v>
      </c>
      <c r="C120" s="32">
        <v>194.20500000000001</v>
      </c>
      <c r="D120" s="32">
        <v>267.46600000000001</v>
      </c>
      <c r="E120" s="38">
        <v>812.32899999999995</v>
      </c>
      <c r="F120" s="32">
        <v>1274</v>
      </c>
      <c r="G120" s="32">
        <v>50</v>
      </c>
      <c r="H120" s="40">
        <v>600</v>
      </c>
      <c r="I120" s="32">
        <v>695</v>
      </c>
      <c r="J120" s="32">
        <v>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15.75">
      <c r="A121" s="13">
        <v>45536</v>
      </c>
      <c r="B121" s="41">
        <v>30</v>
      </c>
      <c r="C121" s="32">
        <v>194.20500000000001</v>
      </c>
      <c r="D121" s="32">
        <v>267.46600000000001</v>
      </c>
      <c r="E121" s="38">
        <v>812.32899999999995</v>
      </c>
      <c r="F121" s="32">
        <v>1274</v>
      </c>
      <c r="G121" s="32">
        <v>50</v>
      </c>
      <c r="H121" s="40">
        <v>600</v>
      </c>
      <c r="I121" s="32">
        <v>695</v>
      </c>
      <c r="J121" s="32">
        <v>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15.75">
      <c r="A122" s="13">
        <v>45566</v>
      </c>
      <c r="B122" s="41">
        <v>31</v>
      </c>
      <c r="C122" s="32">
        <v>131.881</v>
      </c>
      <c r="D122" s="32">
        <v>277.16699999999997</v>
      </c>
      <c r="E122" s="38">
        <v>829.952</v>
      </c>
      <c r="F122" s="32">
        <v>1239</v>
      </c>
      <c r="G122" s="32">
        <v>75</v>
      </c>
      <c r="H122" s="40">
        <v>600</v>
      </c>
      <c r="I122" s="32">
        <v>695</v>
      </c>
      <c r="J122" s="32">
        <v>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15.75">
      <c r="A123" s="13">
        <v>45597</v>
      </c>
      <c r="B123" s="41">
        <v>30</v>
      </c>
      <c r="C123" s="32">
        <v>122.58</v>
      </c>
      <c r="D123" s="32">
        <v>297.94099999999997</v>
      </c>
      <c r="E123" s="38">
        <v>729.47900000000004</v>
      </c>
      <c r="F123" s="32">
        <v>1150</v>
      </c>
      <c r="G123" s="32">
        <v>100</v>
      </c>
      <c r="H123" s="40">
        <v>600</v>
      </c>
      <c r="I123" s="32">
        <v>695</v>
      </c>
      <c r="J123" s="32">
        <v>50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15.75">
      <c r="A124" s="13">
        <v>45627</v>
      </c>
      <c r="B124" s="41">
        <v>31</v>
      </c>
      <c r="C124" s="32">
        <v>122.58</v>
      </c>
      <c r="D124" s="32">
        <v>297.94099999999997</v>
      </c>
      <c r="E124" s="38">
        <v>729.47900000000004</v>
      </c>
      <c r="F124" s="32">
        <v>1150</v>
      </c>
      <c r="G124" s="32">
        <v>100</v>
      </c>
      <c r="H124" s="40">
        <v>600</v>
      </c>
      <c r="I124" s="32">
        <v>695</v>
      </c>
      <c r="J124" s="32">
        <v>50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15.75">
      <c r="A125" s="13">
        <v>45658</v>
      </c>
      <c r="B125" s="41">
        <v>31</v>
      </c>
      <c r="C125" s="32">
        <v>122.58</v>
      </c>
      <c r="D125" s="32">
        <v>297.94099999999997</v>
      </c>
      <c r="E125" s="38">
        <v>729.47900000000004</v>
      </c>
      <c r="F125" s="32">
        <v>1150</v>
      </c>
      <c r="G125" s="32">
        <v>100</v>
      </c>
      <c r="H125" s="40">
        <v>600</v>
      </c>
      <c r="I125" s="32">
        <v>695</v>
      </c>
      <c r="J125" s="32">
        <v>50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15.75">
      <c r="A126" s="13">
        <v>45689</v>
      </c>
      <c r="B126" s="41">
        <v>28</v>
      </c>
      <c r="C126" s="32">
        <v>122.58</v>
      </c>
      <c r="D126" s="32">
        <v>297.94099999999997</v>
      </c>
      <c r="E126" s="38">
        <v>729.47900000000004</v>
      </c>
      <c r="F126" s="32">
        <v>1150</v>
      </c>
      <c r="G126" s="32">
        <v>100</v>
      </c>
      <c r="H126" s="40">
        <v>600</v>
      </c>
      <c r="I126" s="32">
        <v>695</v>
      </c>
      <c r="J126" s="32">
        <v>50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5.75">
      <c r="A127" s="13">
        <v>45717</v>
      </c>
      <c r="B127" s="41">
        <v>31</v>
      </c>
      <c r="C127" s="32">
        <v>122.58</v>
      </c>
      <c r="D127" s="32">
        <v>297.94099999999997</v>
      </c>
      <c r="E127" s="38">
        <v>729.47900000000004</v>
      </c>
      <c r="F127" s="32">
        <v>1150</v>
      </c>
      <c r="G127" s="32">
        <v>100</v>
      </c>
      <c r="H127" s="40">
        <v>600</v>
      </c>
      <c r="I127" s="32">
        <v>695</v>
      </c>
      <c r="J127" s="32">
        <v>50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15.75">
      <c r="A128" s="13">
        <v>45748</v>
      </c>
      <c r="B128" s="41">
        <v>30</v>
      </c>
      <c r="C128" s="32">
        <v>141.29300000000001</v>
      </c>
      <c r="D128" s="32">
        <v>267.99299999999999</v>
      </c>
      <c r="E128" s="38">
        <v>829.71400000000006</v>
      </c>
      <c r="F128" s="32">
        <v>1239</v>
      </c>
      <c r="G128" s="32">
        <v>100</v>
      </c>
      <c r="H128" s="40">
        <v>600</v>
      </c>
      <c r="I128" s="32">
        <v>695</v>
      </c>
      <c r="J128" s="32">
        <v>50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ht="15.75">
      <c r="A129" s="13">
        <v>45778</v>
      </c>
      <c r="B129" s="41">
        <v>31</v>
      </c>
      <c r="C129" s="32">
        <v>194.20500000000001</v>
      </c>
      <c r="D129" s="32">
        <v>267.46600000000001</v>
      </c>
      <c r="E129" s="38">
        <v>812.32899999999995</v>
      </c>
      <c r="F129" s="32">
        <v>1274</v>
      </c>
      <c r="G129" s="32">
        <v>75</v>
      </c>
      <c r="H129" s="40">
        <v>600</v>
      </c>
      <c r="I129" s="32">
        <v>695</v>
      </c>
      <c r="J129" s="32">
        <v>50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15.75">
      <c r="A130" s="13">
        <v>45809</v>
      </c>
      <c r="B130" s="41">
        <v>30</v>
      </c>
      <c r="C130" s="32">
        <v>194.20500000000001</v>
      </c>
      <c r="D130" s="32">
        <v>267.46600000000001</v>
      </c>
      <c r="E130" s="38">
        <v>812.32899999999995</v>
      </c>
      <c r="F130" s="32">
        <v>1274</v>
      </c>
      <c r="G130" s="32">
        <v>50</v>
      </c>
      <c r="H130" s="40">
        <v>600</v>
      </c>
      <c r="I130" s="32">
        <v>695</v>
      </c>
      <c r="J130" s="32">
        <v>50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15.75">
      <c r="A131" s="13">
        <v>45839</v>
      </c>
      <c r="B131" s="41">
        <v>31</v>
      </c>
      <c r="C131" s="32">
        <v>194.20500000000001</v>
      </c>
      <c r="D131" s="32">
        <v>267.46600000000001</v>
      </c>
      <c r="E131" s="38">
        <v>812.32899999999995</v>
      </c>
      <c r="F131" s="32">
        <v>1274</v>
      </c>
      <c r="G131" s="32">
        <v>50</v>
      </c>
      <c r="H131" s="40">
        <v>600</v>
      </c>
      <c r="I131" s="32">
        <v>695</v>
      </c>
      <c r="J131" s="32">
        <v>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 ht="15.75">
      <c r="A132" s="13">
        <v>45870</v>
      </c>
      <c r="B132" s="41">
        <v>31</v>
      </c>
      <c r="C132" s="32">
        <v>194.20500000000001</v>
      </c>
      <c r="D132" s="32">
        <v>267.46600000000001</v>
      </c>
      <c r="E132" s="38">
        <v>812.32899999999995</v>
      </c>
      <c r="F132" s="32">
        <v>1274</v>
      </c>
      <c r="G132" s="32">
        <v>50</v>
      </c>
      <c r="H132" s="40">
        <v>600</v>
      </c>
      <c r="I132" s="32">
        <v>695</v>
      </c>
      <c r="J132" s="32">
        <v>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 ht="15.75">
      <c r="A133" s="13">
        <v>45901</v>
      </c>
      <c r="B133" s="41">
        <v>30</v>
      </c>
      <c r="C133" s="32">
        <v>194.20500000000001</v>
      </c>
      <c r="D133" s="32">
        <v>267.46600000000001</v>
      </c>
      <c r="E133" s="38">
        <v>812.32899999999995</v>
      </c>
      <c r="F133" s="32">
        <v>1274</v>
      </c>
      <c r="G133" s="32">
        <v>50</v>
      </c>
      <c r="H133" s="40">
        <v>600</v>
      </c>
      <c r="I133" s="32">
        <v>695</v>
      </c>
      <c r="J133" s="32">
        <v>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 ht="15.75">
      <c r="A134" s="13">
        <v>45931</v>
      </c>
      <c r="B134" s="41">
        <v>31</v>
      </c>
      <c r="C134" s="32">
        <v>131.881</v>
      </c>
      <c r="D134" s="32">
        <v>277.16699999999997</v>
      </c>
      <c r="E134" s="38">
        <v>829.952</v>
      </c>
      <c r="F134" s="32">
        <v>1239</v>
      </c>
      <c r="G134" s="32">
        <v>75</v>
      </c>
      <c r="H134" s="40">
        <v>600</v>
      </c>
      <c r="I134" s="32">
        <v>695</v>
      </c>
      <c r="J134" s="32">
        <v>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 ht="15.75">
      <c r="A135" s="13">
        <v>45962</v>
      </c>
      <c r="B135" s="41">
        <v>30</v>
      </c>
      <c r="C135" s="32">
        <v>122.58</v>
      </c>
      <c r="D135" s="32">
        <v>297.94099999999997</v>
      </c>
      <c r="E135" s="38">
        <v>729.47900000000004</v>
      </c>
      <c r="F135" s="32">
        <v>1150</v>
      </c>
      <c r="G135" s="32">
        <v>100</v>
      </c>
      <c r="H135" s="40">
        <v>600</v>
      </c>
      <c r="I135" s="32">
        <v>695</v>
      </c>
      <c r="J135" s="32">
        <v>50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 ht="15.75">
      <c r="A136" s="13">
        <v>45992</v>
      </c>
      <c r="B136" s="41">
        <v>31</v>
      </c>
      <c r="C136" s="32">
        <v>122.58</v>
      </c>
      <c r="D136" s="32">
        <v>297.94099999999997</v>
      </c>
      <c r="E136" s="38">
        <v>729.47900000000004</v>
      </c>
      <c r="F136" s="32">
        <v>1150</v>
      </c>
      <c r="G136" s="32">
        <v>100</v>
      </c>
      <c r="H136" s="40">
        <v>600</v>
      </c>
      <c r="I136" s="32">
        <v>695</v>
      </c>
      <c r="J136" s="32">
        <v>50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 ht="15.75">
      <c r="A137" s="13">
        <v>46023</v>
      </c>
      <c r="B137" s="41">
        <v>31</v>
      </c>
      <c r="C137" s="32">
        <v>122.58</v>
      </c>
      <c r="D137" s="32">
        <v>297.94099999999997</v>
      </c>
      <c r="E137" s="38">
        <v>729.47900000000004</v>
      </c>
      <c r="F137" s="32">
        <v>1150</v>
      </c>
      <c r="G137" s="32">
        <v>100</v>
      </c>
      <c r="H137" s="40">
        <v>600</v>
      </c>
      <c r="I137" s="32">
        <v>695</v>
      </c>
      <c r="J137" s="32">
        <v>50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 ht="15.75">
      <c r="A138" s="13">
        <v>46054</v>
      </c>
      <c r="B138" s="41">
        <v>28</v>
      </c>
      <c r="C138" s="32">
        <v>122.58</v>
      </c>
      <c r="D138" s="32">
        <v>297.94099999999997</v>
      </c>
      <c r="E138" s="38">
        <v>729.47900000000004</v>
      </c>
      <c r="F138" s="32">
        <v>1150</v>
      </c>
      <c r="G138" s="32">
        <v>100</v>
      </c>
      <c r="H138" s="40">
        <v>600</v>
      </c>
      <c r="I138" s="32">
        <v>695</v>
      </c>
      <c r="J138" s="32">
        <v>50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 ht="15.75">
      <c r="A139" s="13">
        <v>46082</v>
      </c>
      <c r="B139" s="41">
        <v>31</v>
      </c>
      <c r="C139" s="32">
        <v>122.58</v>
      </c>
      <c r="D139" s="32">
        <v>297.94099999999997</v>
      </c>
      <c r="E139" s="38">
        <v>729.47900000000004</v>
      </c>
      <c r="F139" s="32">
        <v>1150</v>
      </c>
      <c r="G139" s="32">
        <v>100</v>
      </c>
      <c r="H139" s="40">
        <v>600</v>
      </c>
      <c r="I139" s="32">
        <v>695</v>
      </c>
      <c r="J139" s="32">
        <v>50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 ht="15.75">
      <c r="A140" s="13">
        <v>46113</v>
      </c>
      <c r="B140" s="41">
        <v>30</v>
      </c>
      <c r="C140" s="32">
        <v>141.29300000000001</v>
      </c>
      <c r="D140" s="32">
        <v>267.99299999999999</v>
      </c>
      <c r="E140" s="38">
        <v>829.71400000000006</v>
      </c>
      <c r="F140" s="32">
        <v>1239</v>
      </c>
      <c r="G140" s="32">
        <v>100</v>
      </c>
      <c r="H140" s="40">
        <v>600</v>
      </c>
      <c r="I140" s="32">
        <v>695</v>
      </c>
      <c r="J140" s="32">
        <v>50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 ht="15.75">
      <c r="A141" s="13">
        <v>46143</v>
      </c>
      <c r="B141" s="41">
        <v>31</v>
      </c>
      <c r="C141" s="32">
        <v>194.20500000000001</v>
      </c>
      <c r="D141" s="32">
        <v>267.46600000000001</v>
      </c>
      <c r="E141" s="38">
        <v>812.32899999999995</v>
      </c>
      <c r="F141" s="32">
        <v>1274</v>
      </c>
      <c r="G141" s="32">
        <v>75</v>
      </c>
      <c r="H141" s="40">
        <v>600</v>
      </c>
      <c r="I141" s="32">
        <v>695</v>
      </c>
      <c r="J141" s="32">
        <v>50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 ht="15.75">
      <c r="A142" s="13">
        <v>46174</v>
      </c>
      <c r="B142" s="41">
        <v>30</v>
      </c>
      <c r="C142" s="32">
        <v>194.20500000000001</v>
      </c>
      <c r="D142" s="32">
        <v>267.46600000000001</v>
      </c>
      <c r="E142" s="38">
        <v>812.32899999999995</v>
      </c>
      <c r="F142" s="32">
        <v>1274</v>
      </c>
      <c r="G142" s="32">
        <v>50</v>
      </c>
      <c r="H142" s="40">
        <v>600</v>
      </c>
      <c r="I142" s="32">
        <v>695</v>
      </c>
      <c r="J142" s="32">
        <v>50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 ht="15.75">
      <c r="A143" s="13">
        <v>46204</v>
      </c>
      <c r="B143" s="41">
        <v>31</v>
      </c>
      <c r="C143" s="32">
        <v>194.20500000000001</v>
      </c>
      <c r="D143" s="32">
        <v>267.46600000000001</v>
      </c>
      <c r="E143" s="38">
        <v>812.32899999999995</v>
      </c>
      <c r="F143" s="32">
        <v>1274</v>
      </c>
      <c r="G143" s="32">
        <v>50</v>
      </c>
      <c r="H143" s="40">
        <v>600</v>
      </c>
      <c r="I143" s="32">
        <v>695</v>
      </c>
      <c r="J143" s="32">
        <v>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 ht="15.75">
      <c r="A144" s="13">
        <v>46235</v>
      </c>
      <c r="B144" s="41">
        <v>31</v>
      </c>
      <c r="C144" s="32">
        <v>194.20500000000001</v>
      </c>
      <c r="D144" s="32">
        <v>267.46600000000001</v>
      </c>
      <c r="E144" s="38">
        <v>812.32899999999995</v>
      </c>
      <c r="F144" s="32">
        <v>1274</v>
      </c>
      <c r="G144" s="32">
        <v>50</v>
      </c>
      <c r="H144" s="40">
        <v>600</v>
      </c>
      <c r="I144" s="32">
        <v>695</v>
      </c>
      <c r="J144" s="32">
        <v>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 ht="15.75">
      <c r="A145" s="13">
        <v>46266</v>
      </c>
      <c r="B145" s="41">
        <v>30</v>
      </c>
      <c r="C145" s="32">
        <v>194.20500000000001</v>
      </c>
      <c r="D145" s="32">
        <v>267.46600000000001</v>
      </c>
      <c r="E145" s="38">
        <v>812.32899999999995</v>
      </c>
      <c r="F145" s="32">
        <v>1274</v>
      </c>
      <c r="G145" s="32">
        <v>50</v>
      </c>
      <c r="H145" s="40">
        <v>600</v>
      </c>
      <c r="I145" s="32">
        <v>695</v>
      </c>
      <c r="J145" s="32">
        <v>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 ht="15.75">
      <c r="A146" s="13">
        <v>46296</v>
      </c>
      <c r="B146" s="41">
        <v>31</v>
      </c>
      <c r="C146" s="32">
        <v>131.881</v>
      </c>
      <c r="D146" s="32">
        <v>277.16699999999997</v>
      </c>
      <c r="E146" s="38">
        <v>829.952</v>
      </c>
      <c r="F146" s="32">
        <v>1239</v>
      </c>
      <c r="G146" s="32">
        <v>75</v>
      </c>
      <c r="H146" s="40">
        <v>600</v>
      </c>
      <c r="I146" s="32">
        <v>695</v>
      </c>
      <c r="J146" s="32">
        <v>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 ht="15.75">
      <c r="A147" s="13">
        <v>46327</v>
      </c>
      <c r="B147" s="41">
        <v>30</v>
      </c>
      <c r="C147" s="32">
        <v>122.58</v>
      </c>
      <c r="D147" s="32">
        <v>297.94099999999997</v>
      </c>
      <c r="E147" s="38">
        <v>729.47900000000004</v>
      </c>
      <c r="F147" s="32">
        <v>1150</v>
      </c>
      <c r="G147" s="32">
        <v>100</v>
      </c>
      <c r="H147" s="40">
        <v>600</v>
      </c>
      <c r="I147" s="32">
        <v>695</v>
      </c>
      <c r="J147" s="32">
        <v>50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 ht="15.75">
      <c r="A148" s="13">
        <v>46357</v>
      </c>
      <c r="B148" s="41">
        <v>31</v>
      </c>
      <c r="C148" s="32">
        <v>122.58</v>
      </c>
      <c r="D148" s="32">
        <v>297.94099999999997</v>
      </c>
      <c r="E148" s="38">
        <v>729.47900000000004</v>
      </c>
      <c r="F148" s="32">
        <v>1150</v>
      </c>
      <c r="G148" s="32">
        <v>100</v>
      </c>
      <c r="H148" s="40">
        <v>600</v>
      </c>
      <c r="I148" s="32">
        <v>695</v>
      </c>
      <c r="J148" s="32">
        <v>50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 ht="15.75">
      <c r="A149" s="13">
        <v>46388</v>
      </c>
      <c r="B149" s="41">
        <v>31</v>
      </c>
      <c r="C149" s="32">
        <v>122.58</v>
      </c>
      <c r="D149" s="32">
        <v>297.94099999999997</v>
      </c>
      <c r="E149" s="38">
        <v>729.47900000000004</v>
      </c>
      <c r="F149" s="32">
        <v>1150</v>
      </c>
      <c r="G149" s="32">
        <v>100</v>
      </c>
      <c r="H149" s="40">
        <v>600</v>
      </c>
      <c r="I149" s="32">
        <v>695</v>
      </c>
      <c r="J149" s="32">
        <v>50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 ht="15.75">
      <c r="A150" s="13">
        <v>46419</v>
      </c>
      <c r="B150" s="41">
        <v>28</v>
      </c>
      <c r="C150" s="32">
        <v>122.58</v>
      </c>
      <c r="D150" s="32">
        <v>297.94099999999997</v>
      </c>
      <c r="E150" s="38">
        <v>729.47900000000004</v>
      </c>
      <c r="F150" s="32">
        <v>1150</v>
      </c>
      <c r="G150" s="32">
        <v>100</v>
      </c>
      <c r="H150" s="40">
        <v>600</v>
      </c>
      <c r="I150" s="32">
        <v>695</v>
      </c>
      <c r="J150" s="32">
        <v>50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 ht="15.75">
      <c r="A151" s="13">
        <v>46447</v>
      </c>
      <c r="B151" s="41">
        <v>31</v>
      </c>
      <c r="C151" s="32">
        <v>122.58</v>
      </c>
      <c r="D151" s="32">
        <v>297.94099999999997</v>
      </c>
      <c r="E151" s="38">
        <v>729.47900000000004</v>
      </c>
      <c r="F151" s="32">
        <v>1150</v>
      </c>
      <c r="G151" s="32">
        <v>100</v>
      </c>
      <c r="H151" s="40">
        <v>600</v>
      </c>
      <c r="I151" s="32">
        <v>695</v>
      </c>
      <c r="J151" s="32">
        <v>50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 ht="15.75">
      <c r="A152" s="13">
        <v>46478</v>
      </c>
      <c r="B152" s="41">
        <v>30</v>
      </c>
      <c r="C152" s="32">
        <v>141.29300000000001</v>
      </c>
      <c r="D152" s="32">
        <v>267.99299999999999</v>
      </c>
      <c r="E152" s="38">
        <v>829.71400000000006</v>
      </c>
      <c r="F152" s="32">
        <v>1239</v>
      </c>
      <c r="G152" s="32">
        <v>100</v>
      </c>
      <c r="H152" s="40">
        <v>600</v>
      </c>
      <c r="I152" s="32">
        <v>695</v>
      </c>
      <c r="J152" s="32">
        <v>50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 ht="15.75">
      <c r="A153" s="13">
        <v>46508</v>
      </c>
      <c r="B153" s="41">
        <v>31</v>
      </c>
      <c r="C153" s="32">
        <v>194.20500000000001</v>
      </c>
      <c r="D153" s="32">
        <v>267.46600000000001</v>
      </c>
      <c r="E153" s="38">
        <v>812.32899999999995</v>
      </c>
      <c r="F153" s="32">
        <v>1274</v>
      </c>
      <c r="G153" s="32">
        <v>75</v>
      </c>
      <c r="H153" s="40">
        <v>600</v>
      </c>
      <c r="I153" s="32">
        <v>695</v>
      </c>
      <c r="J153" s="32">
        <v>50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 ht="15.75">
      <c r="A154" s="13">
        <v>46539</v>
      </c>
      <c r="B154" s="41">
        <v>30</v>
      </c>
      <c r="C154" s="32">
        <v>194.20500000000001</v>
      </c>
      <c r="D154" s="32">
        <v>267.46600000000001</v>
      </c>
      <c r="E154" s="38">
        <v>812.32899999999995</v>
      </c>
      <c r="F154" s="32">
        <v>1274</v>
      </c>
      <c r="G154" s="32">
        <v>50</v>
      </c>
      <c r="H154" s="40">
        <v>600</v>
      </c>
      <c r="I154" s="32">
        <v>695</v>
      </c>
      <c r="J154" s="32">
        <v>50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 ht="15.75">
      <c r="A155" s="13">
        <v>46569</v>
      </c>
      <c r="B155" s="41">
        <v>31</v>
      </c>
      <c r="C155" s="32">
        <v>194.20500000000001</v>
      </c>
      <c r="D155" s="32">
        <v>267.46600000000001</v>
      </c>
      <c r="E155" s="38">
        <v>812.32899999999995</v>
      </c>
      <c r="F155" s="32">
        <v>1274</v>
      </c>
      <c r="G155" s="32">
        <v>50</v>
      </c>
      <c r="H155" s="40">
        <v>600</v>
      </c>
      <c r="I155" s="32">
        <v>695</v>
      </c>
      <c r="J155" s="32">
        <v>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 ht="15.75">
      <c r="A156" s="13">
        <v>46600</v>
      </c>
      <c r="B156" s="41">
        <v>31</v>
      </c>
      <c r="C156" s="32">
        <v>194.20500000000001</v>
      </c>
      <c r="D156" s="32">
        <v>267.46600000000001</v>
      </c>
      <c r="E156" s="38">
        <v>812.32899999999995</v>
      </c>
      <c r="F156" s="32">
        <v>1274</v>
      </c>
      <c r="G156" s="32">
        <v>50</v>
      </c>
      <c r="H156" s="40">
        <v>600</v>
      </c>
      <c r="I156" s="32">
        <v>695</v>
      </c>
      <c r="J156" s="32">
        <v>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 ht="15.75">
      <c r="A157" s="13">
        <v>46631</v>
      </c>
      <c r="B157" s="41">
        <v>30</v>
      </c>
      <c r="C157" s="32">
        <v>194.20500000000001</v>
      </c>
      <c r="D157" s="32">
        <v>267.46600000000001</v>
      </c>
      <c r="E157" s="38">
        <v>812.32899999999995</v>
      </c>
      <c r="F157" s="32">
        <v>1274</v>
      </c>
      <c r="G157" s="32">
        <v>50</v>
      </c>
      <c r="H157" s="40">
        <v>600</v>
      </c>
      <c r="I157" s="32">
        <v>695</v>
      </c>
      <c r="J157" s="32">
        <v>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 ht="15.75">
      <c r="A158" s="13">
        <v>46661</v>
      </c>
      <c r="B158" s="41">
        <v>31</v>
      </c>
      <c r="C158" s="32">
        <v>131.881</v>
      </c>
      <c r="D158" s="32">
        <v>277.16699999999997</v>
      </c>
      <c r="E158" s="38">
        <v>829.952</v>
      </c>
      <c r="F158" s="32">
        <v>1239</v>
      </c>
      <c r="G158" s="32">
        <v>75</v>
      </c>
      <c r="H158" s="40">
        <v>600</v>
      </c>
      <c r="I158" s="32">
        <v>695</v>
      </c>
      <c r="J158" s="32">
        <v>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 ht="15.75">
      <c r="A159" s="13">
        <v>46692</v>
      </c>
      <c r="B159" s="41">
        <v>30</v>
      </c>
      <c r="C159" s="32">
        <v>122.58</v>
      </c>
      <c r="D159" s="32">
        <v>297.94099999999997</v>
      </c>
      <c r="E159" s="38">
        <v>729.47900000000004</v>
      </c>
      <c r="F159" s="32">
        <v>1150</v>
      </c>
      <c r="G159" s="32">
        <v>100</v>
      </c>
      <c r="H159" s="40">
        <v>600</v>
      </c>
      <c r="I159" s="32">
        <v>695</v>
      </c>
      <c r="J159" s="32">
        <v>50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 ht="15.75">
      <c r="A160" s="13">
        <v>46722</v>
      </c>
      <c r="B160" s="41">
        <v>31</v>
      </c>
      <c r="C160" s="32">
        <v>122.58</v>
      </c>
      <c r="D160" s="32">
        <v>297.94099999999997</v>
      </c>
      <c r="E160" s="38">
        <v>729.47900000000004</v>
      </c>
      <c r="F160" s="32">
        <v>1150</v>
      </c>
      <c r="G160" s="32">
        <v>100</v>
      </c>
      <c r="H160" s="40">
        <v>600</v>
      </c>
      <c r="I160" s="32">
        <v>695</v>
      </c>
      <c r="J160" s="32">
        <v>50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 ht="15.75">
      <c r="A161" s="13">
        <v>46753</v>
      </c>
      <c r="B161" s="41">
        <v>31</v>
      </c>
      <c r="C161" s="32">
        <v>122.58</v>
      </c>
      <c r="D161" s="32">
        <v>297.94099999999997</v>
      </c>
      <c r="E161" s="38">
        <v>729.47900000000004</v>
      </c>
      <c r="F161" s="32">
        <v>1150</v>
      </c>
      <c r="G161" s="32">
        <v>100</v>
      </c>
      <c r="H161" s="40">
        <v>600</v>
      </c>
      <c r="I161" s="32">
        <v>695</v>
      </c>
      <c r="J161" s="32">
        <v>50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 ht="15.75">
      <c r="A162" s="13">
        <v>46784</v>
      </c>
      <c r="B162" s="41">
        <v>29</v>
      </c>
      <c r="C162" s="32">
        <v>122.58</v>
      </c>
      <c r="D162" s="32">
        <v>297.94099999999997</v>
      </c>
      <c r="E162" s="38">
        <v>729.47900000000004</v>
      </c>
      <c r="F162" s="32">
        <v>1150</v>
      </c>
      <c r="G162" s="32">
        <v>100</v>
      </c>
      <c r="H162" s="40">
        <v>600</v>
      </c>
      <c r="I162" s="32">
        <v>695</v>
      </c>
      <c r="J162" s="32">
        <v>50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5.75">
      <c r="A163" s="13">
        <v>46813</v>
      </c>
      <c r="B163" s="41">
        <v>31</v>
      </c>
      <c r="C163" s="32">
        <v>122.58</v>
      </c>
      <c r="D163" s="32">
        <v>297.94099999999997</v>
      </c>
      <c r="E163" s="38">
        <v>729.47900000000004</v>
      </c>
      <c r="F163" s="32">
        <v>1150</v>
      </c>
      <c r="G163" s="32">
        <v>100</v>
      </c>
      <c r="H163" s="40">
        <v>600</v>
      </c>
      <c r="I163" s="32">
        <v>695</v>
      </c>
      <c r="J163" s="32">
        <v>50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 ht="15.75">
      <c r="A164" s="13">
        <v>46844</v>
      </c>
      <c r="B164" s="41">
        <v>30</v>
      </c>
      <c r="C164" s="32">
        <v>141.29300000000001</v>
      </c>
      <c r="D164" s="32">
        <v>267.99299999999999</v>
      </c>
      <c r="E164" s="38">
        <v>829.71400000000006</v>
      </c>
      <c r="F164" s="32">
        <v>1239</v>
      </c>
      <c r="G164" s="32">
        <v>100</v>
      </c>
      <c r="H164" s="40">
        <v>600</v>
      </c>
      <c r="I164" s="32">
        <v>695</v>
      </c>
      <c r="J164" s="32">
        <v>50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 ht="15.75">
      <c r="A165" s="13">
        <v>46874</v>
      </c>
      <c r="B165" s="41">
        <v>31</v>
      </c>
      <c r="C165" s="32">
        <v>194.20500000000001</v>
      </c>
      <c r="D165" s="32">
        <v>267.46600000000001</v>
      </c>
      <c r="E165" s="38">
        <v>812.32899999999995</v>
      </c>
      <c r="F165" s="32">
        <v>1274</v>
      </c>
      <c r="G165" s="32">
        <v>75</v>
      </c>
      <c r="H165" s="40">
        <v>600</v>
      </c>
      <c r="I165" s="32">
        <v>695</v>
      </c>
      <c r="J165" s="32">
        <v>50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 ht="15.75">
      <c r="A166" s="13">
        <v>46905</v>
      </c>
      <c r="B166" s="41">
        <v>30</v>
      </c>
      <c r="C166" s="32">
        <v>194.20500000000001</v>
      </c>
      <c r="D166" s="32">
        <v>267.46600000000001</v>
      </c>
      <c r="E166" s="38">
        <v>812.32899999999995</v>
      </c>
      <c r="F166" s="32">
        <v>1274</v>
      </c>
      <c r="G166" s="32">
        <v>50</v>
      </c>
      <c r="H166" s="40">
        <v>600</v>
      </c>
      <c r="I166" s="32">
        <v>695</v>
      </c>
      <c r="J166" s="32">
        <v>50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 ht="15.75">
      <c r="A167" s="13">
        <v>46935</v>
      </c>
      <c r="B167" s="41">
        <v>31</v>
      </c>
      <c r="C167" s="32">
        <v>194.20500000000001</v>
      </c>
      <c r="D167" s="32">
        <v>267.46600000000001</v>
      </c>
      <c r="E167" s="38">
        <v>812.32899999999995</v>
      </c>
      <c r="F167" s="32">
        <v>1274</v>
      </c>
      <c r="G167" s="32">
        <v>50</v>
      </c>
      <c r="H167" s="40">
        <v>600</v>
      </c>
      <c r="I167" s="32">
        <v>695</v>
      </c>
      <c r="J167" s="32">
        <v>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 ht="15.75">
      <c r="A168" s="13">
        <v>46966</v>
      </c>
      <c r="B168" s="41">
        <v>31</v>
      </c>
      <c r="C168" s="32">
        <v>194.20500000000001</v>
      </c>
      <c r="D168" s="32">
        <v>267.46600000000001</v>
      </c>
      <c r="E168" s="38">
        <v>812.32899999999995</v>
      </c>
      <c r="F168" s="32">
        <v>1274</v>
      </c>
      <c r="G168" s="32">
        <v>50</v>
      </c>
      <c r="H168" s="40">
        <v>600</v>
      </c>
      <c r="I168" s="32">
        <v>695</v>
      </c>
      <c r="J168" s="32">
        <v>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 ht="15.75">
      <c r="A169" s="13">
        <v>46997</v>
      </c>
      <c r="B169" s="41">
        <v>30</v>
      </c>
      <c r="C169" s="32">
        <v>194.20500000000001</v>
      </c>
      <c r="D169" s="32">
        <v>267.46600000000001</v>
      </c>
      <c r="E169" s="38">
        <v>812.32899999999995</v>
      </c>
      <c r="F169" s="32">
        <v>1274</v>
      </c>
      <c r="G169" s="32">
        <v>50</v>
      </c>
      <c r="H169" s="40">
        <v>600</v>
      </c>
      <c r="I169" s="32">
        <v>695</v>
      </c>
      <c r="J169" s="32">
        <v>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 ht="15.75">
      <c r="A170" s="13">
        <v>47027</v>
      </c>
      <c r="B170" s="41">
        <v>31</v>
      </c>
      <c r="C170" s="32">
        <v>131.881</v>
      </c>
      <c r="D170" s="32">
        <v>277.16699999999997</v>
      </c>
      <c r="E170" s="38">
        <v>829.952</v>
      </c>
      <c r="F170" s="32">
        <v>1239</v>
      </c>
      <c r="G170" s="32">
        <v>75</v>
      </c>
      <c r="H170" s="40">
        <v>600</v>
      </c>
      <c r="I170" s="32">
        <v>695</v>
      </c>
      <c r="J170" s="32">
        <v>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 ht="15.75">
      <c r="A171" s="13">
        <v>47058</v>
      </c>
      <c r="B171" s="41">
        <v>30</v>
      </c>
      <c r="C171" s="32">
        <v>122.58</v>
      </c>
      <c r="D171" s="32">
        <v>297.94099999999997</v>
      </c>
      <c r="E171" s="38">
        <v>729.47900000000004</v>
      </c>
      <c r="F171" s="32">
        <v>1150</v>
      </c>
      <c r="G171" s="32">
        <v>100</v>
      </c>
      <c r="H171" s="40">
        <v>600</v>
      </c>
      <c r="I171" s="32">
        <v>695</v>
      </c>
      <c r="J171" s="32">
        <v>50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 ht="15.75">
      <c r="A172" s="13">
        <v>47088</v>
      </c>
      <c r="B172" s="41">
        <v>31</v>
      </c>
      <c r="C172" s="32">
        <v>122.58</v>
      </c>
      <c r="D172" s="32">
        <v>297.94099999999997</v>
      </c>
      <c r="E172" s="38">
        <v>729.47900000000004</v>
      </c>
      <c r="F172" s="32">
        <v>1150</v>
      </c>
      <c r="G172" s="32">
        <v>100</v>
      </c>
      <c r="H172" s="40">
        <v>600</v>
      </c>
      <c r="I172" s="32">
        <v>695</v>
      </c>
      <c r="J172" s="32">
        <v>50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 ht="15.75">
      <c r="A173" s="13">
        <v>47119</v>
      </c>
      <c r="B173" s="41">
        <v>31</v>
      </c>
      <c r="C173" s="32">
        <v>122.58</v>
      </c>
      <c r="D173" s="32">
        <v>297.94099999999997</v>
      </c>
      <c r="E173" s="38">
        <v>729.47900000000004</v>
      </c>
      <c r="F173" s="32">
        <v>1150</v>
      </c>
      <c r="G173" s="32">
        <v>100</v>
      </c>
      <c r="H173" s="40">
        <v>600</v>
      </c>
      <c r="I173" s="32">
        <v>695</v>
      </c>
      <c r="J173" s="32">
        <v>50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 ht="15.75">
      <c r="A174" s="13">
        <v>47150</v>
      </c>
      <c r="B174" s="41">
        <v>28</v>
      </c>
      <c r="C174" s="32">
        <v>122.58</v>
      </c>
      <c r="D174" s="32">
        <v>297.94099999999997</v>
      </c>
      <c r="E174" s="38">
        <v>729.47900000000004</v>
      </c>
      <c r="F174" s="32">
        <v>1150</v>
      </c>
      <c r="G174" s="32">
        <v>100</v>
      </c>
      <c r="H174" s="40">
        <v>600</v>
      </c>
      <c r="I174" s="32">
        <v>695</v>
      </c>
      <c r="J174" s="32">
        <v>50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 ht="15.75">
      <c r="A175" s="13">
        <v>47178</v>
      </c>
      <c r="B175" s="41">
        <v>31</v>
      </c>
      <c r="C175" s="32">
        <v>122.58</v>
      </c>
      <c r="D175" s="32">
        <v>297.94099999999997</v>
      </c>
      <c r="E175" s="38">
        <v>729.47900000000004</v>
      </c>
      <c r="F175" s="32">
        <v>1150</v>
      </c>
      <c r="G175" s="32">
        <v>100</v>
      </c>
      <c r="H175" s="40">
        <v>600</v>
      </c>
      <c r="I175" s="32">
        <v>695</v>
      </c>
      <c r="J175" s="32">
        <v>50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 ht="15.75">
      <c r="A176" s="13">
        <v>47209</v>
      </c>
      <c r="B176" s="41">
        <v>30</v>
      </c>
      <c r="C176" s="32">
        <v>141.29300000000001</v>
      </c>
      <c r="D176" s="32">
        <v>267.99299999999999</v>
      </c>
      <c r="E176" s="38">
        <v>829.71400000000006</v>
      </c>
      <c r="F176" s="32">
        <v>1239</v>
      </c>
      <c r="G176" s="32">
        <v>100</v>
      </c>
      <c r="H176" s="40">
        <v>600</v>
      </c>
      <c r="I176" s="32">
        <v>695</v>
      </c>
      <c r="J176" s="32">
        <v>50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 ht="15.75">
      <c r="A177" s="13">
        <v>47239</v>
      </c>
      <c r="B177" s="41">
        <v>31</v>
      </c>
      <c r="C177" s="32">
        <v>194.20500000000001</v>
      </c>
      <c r="D177" s="32">
        <v>267.46600000000001</v>
      </c>
      <c r="E177" s="38">
        <v>812.32899999999995</v>
      </c>
      <c r="F177" s="32">
        <v>1274</v>
      </c>
      <c r="G177" s="32">
        <v>75</v>
      </c>
      <c r="H177" s="40">
        <v>600</v>
      </c>
      <c r="I177" s="32">
        <v>695</v>
      </c>
      <c r="J177" s="32">
        <v>50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 ht="15.75">
      <c r="A178" s="13">
        <v>47270</v>
      </c>
      <c r="B178" s="41">
        <v>30</v>
      </c>
      <c r="C178" s="32">
        <v>194.20500000000001</v>
      </c>
      <c r="D178" s="32">
        <v>267.46600000000001</v>
      </c>
      <c r="E178" s="38">
        <v>812.32899999999995</v>
      </c>
      <c r="F178" s="32">
        <v>1274</v>
      </c>
      <c r="G178" s="32">
        <v>50</v>
      </c>
      <c r="H178" s="40">
        <v>600</v>
      </c>
      <c r="I178" s="32">
        <v>695</v>
      </c>
      <c r="J178" s="32">
        <v>50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 ht="15.75">
      <c r="A179" s="13">
        <v>47300</v>
      </c>
      <c r="B179" s="41">
        <v>31</v>
      </c>
      <c r="C179" s="32">
        <v>194.20500000000001</v>
      </c>
      <c r="D179" s="32">
        <v>267.46600000000001</v>
      </c>
      <c r="E179" s="38">
        <v>812.32899999999995</v>
      </c>
      <c r="F179" s="32">
        <v>1274</v>
      </c>
      <c r="G179" s="32">
        <v>50</v>
      </c>
      <c r="H179" s="40">
        <v>600</v>
      </c>
      <c r="I179" s="32">
        <v>695</v>
      </c>
      <c r="J179" s="32">
        <v>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ht="15.75">
      <c r="A180" s="13">
        <v>47331</v>
      </c>
      <c r="B180" s="41">
        <v>31</v>
      </c>
      <c r="C180" s="32">
        <v>194.20500000000001</v>
      </c>
      <c r="D180" s="32">
        <v>267.46600000000001</v>
      </c>
      <c r="E180" s="38">
        <v>812.32899999999995</v>
      </c>
      <c r="F180" s="32">
        <v>1274</v>
      </c>
      <c r="G180" s="32">
        <v>50</v>
      </c>
      <c r="H180" s="40">
        <v>600</v>
      </c>
      <c r="I180" s="32">
        <v>695</v>
      </c>
      <c r="J180" s="32">
        <v>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ht="15.75">
      <c r="A181" s="13">
        <v>47362</v>
      </c>
      <c r="B181" s="41">
        <v>30</v>
      </c>
      <c r="C181" s="32">
        <v>194.20500000000001</v>
      </c>
      <c r="D181" s="32">
        <v>267.46600000000001</v>
      </c>
      <c r="E181" s="38">
        <v>812.32899999999995</v>
      </c>
      <c r="F181" s="32">
        <v>1274</v>
      </c>
      <c r="G181" s="32">
        <v>50</v>
      </c>
      <c r="H181" s="40">
        <v>600</v>
      </c>
      <c r="I181" s="32">
        <v>695</v>
      </c>
      <c r="J181" s="32">
        <v>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.75">
      <c r="A182" s="13">
        <v>47392</v>
      </c>
      <c r="B182" s="41">
        <v>31</v>
      </c>
      <c r="C182" s="32">
        <v>131.881</v>
      </c>
      <c r="D182" s="32">
        <v>277.16699999999997</v>
      </c>
      <c r="E182" s="38">
        <v>829.952</v>
      </c>
      <c r="F182" s="32">
        <v>1239</v>
      </c>
      <c r="G182" s="32">
        <v>75</v>
      </c>
      <c r="H182" s="40">
        <v>600</v>
      </c>
      <c r="I182" s="32">
        <v>695</v>
      </c>
      <c r="J182" s="32">
        <v>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ht="15.75">
      <c r="A183" s="13">
        <v>47423</v>
      </c>
      <c r="B183" s="41">
        <v>30</v>
      </c>
      <c r="C183" s="32">
        <v>122.58</v>
      </c>
      <c r="D183" s="32">
        <v>297.94099999999997</v>
      </c>
      <c r="E183" s="38">
        <v>729.47900000000004</v>
      </c>
      <c r="F183" s="32">
        <v>1150</v>
      </c>
      <c r="G183" s="32">
        <v>100</v>
      </c>
      <c r="H183" s="40">
        <v>600</v>
      </c>
      <c r="I183" s="32">
        <v>695</v>
      </c>
      <c r="J183" s="32">
        <v>50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 ht="15.75">
      <c r="A184" s="13">
        <v>47453</v>
      </c>
      <c r="B184" s="41">
        <v>31</v>
      </c>
      <c r="C184" s="32">
        <v>122.58</v>
      </c>
      <c r="D184" s="32">
        <v>297.94099999999997</v>
      </c>
      <c r="E184" s="38">
        <v>729.47900000000004</v>
      </c>
      <c r="F184" s="32">
        <v>1150</v>
      </c>
      <c r="G184" s="32">
        <v>100</v>
      </c>
      <c r="H184" s="40">
        <v>600</v>
      </c>
      <c r="I184" s="32">
        <v>695</v>
      </c>
      <c r="J184" s="32">
        <v>50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ht="15.75">
      <c r="A185" s="13">
        <v>47484</v>
      </c>
      <c r="B185" s="41">
        <v>31</v>
      </c>
      <c r="C185" s="32">
        <v>122.58</v>
      </c>
      <c r="D185" s="32">
        <v>297.94099999999997</v>
      </c>
      <c r="E185" s="38">
        <v>729.47900000000004</v>
      </c>
      <c r="F185" s="32">
        <v>1150</v>
      </c>
      <c r="G185" s="32">
        <v>100</v>
      </c>
      <c r="H185" s="40">
        <v>600</v>
      </c>
      <c r="I185" s="32">
        <v>695</v>
      </c>
      <c r="J185" s="32">
        <v>50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ht="15.75">
      <c r="A186" s="13">
        <v>47515</v>
      </c>
      <c r="B186" s="41">
        <v>28</v>
      </c>
      <c r="C186" s="32">
        <v>122.58</v>
      </c>
      <c r="D186" s="32">
        <v>297.94099999999997</v>
      </c>
      <c r="E186" s="38">
        <v>729.47900000000004</v>
      </c>
      <c r="F186" s="32">
        <v>1150</v>
      </c>
      <c r="G186" s="32">
        <v>100</v>
      </c>
      <c r="H186" s="40">
        <v>600</v>
      </c>
      <c r="I186" s="32">
        <v>695</v>
      </c>
      <c r="J186" s="32">
        <v>50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ht="15.75">
      <c r="A187" s="13">
        <v>47543</v>
      </c>
      <c r="B187" s="41">
        <v>31</v>
      </c>
      <c r="C187" s="32">
        <v>122.58</v>
      </c>
      <c r="D187" s="32">
        <v>297.94099999999997</v>
      </c>
      <c r="E187" s="38">
        <v>729.47900000000004</v>
      </c>
      <c r="F187" s="32">
        <v>1150</v>
      </c>
      <c r="G187" s="32">
        <v>100</v>
      </c>
      <c r="H187" s="40">
        <v>600</v>
      </c>
      <c r="I187" s="32">
        <v>695</v>
      </c>
      <c r="J187" s="32">
        <v>50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ht="15.75">
      <c r="A188" s="13">
        <v>47574</v>
      </c>
      <c r="B188" s="41">
        <v>30</v>
      </c>
      <c r="C188" s="32">
        <v>141.29300000000001</v>
      </c>
      <c r="D188" s="32">
        <v>267.99299999999999</v>
      </c>
      <c r="E188" s="38">
        <v>829.71400000000006</v>
      </c>
      <c r="F188" s="32">
        <v>1239</v>
      </c>
      <c r="G188" s="32">
        <v>100</v>
      </c>
      <c r="H188" s="40">
        <v>600</v>
      </c>
      <c r="I188" s="32">
        <v>695</v>
      </c>
      <c r="J188" s="32">
        <v>50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ht="15.75">
      <c r="A189" s="13">
        <v>47604</v>
      </c>
      <c r="B189" s="41">
        <v>31</v>
      </c>
      <c r="C189" s="32">
        <v>194.20500000000001</v>
      </c>
      <c r="D189" s="32">
        <v>267.46600000000001</v>
      </c>
      <c r="E189" s="38">
        <v>812.32899999999995</v>
      </c>
      <c r="F189" s="32">
        <v>1274</v>
      </c>
      <c r="G189" s="32">
        <v>75</v>
      </c>
      <c r="H189" s="40">
        <v>600</v>
      </c>
      <c r="I189" s="32">
        <v>695</v>
      </c>
      <c r="J189" s="32">
        <v>50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ht="15.75">
      <c r="A190" s="13">
        <v>47635</v>
      </c>
      <c r="B190" s="41">
        <v>30</v>
      </c>
      <c r="C190" s="32">
        <v>194.20500000000001</v>
      </c>
      <c r="D190" s="32">
        <v>267.46600000000001</v>
      </c>
      <c r="E190" s="38">
        <v>812.32899999999995</v>
      </c>
      <c r="F190" s="32">
        <v>1274</v>
      </c>
      <c r="G190" s="32">
        <v>50</v>
      </c>
      <c r="H190" s="40">
        <v>600</v>
      </c>
      <c r="I190" s="32">
        <v>695</v>
      </c>
      <c r="J190" s="32">
        <v>50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ht="15.75">
      <c r="A191" s="13">
        <v>47665</v>
      </c>
      <c r="B191" s="41">
        <v>31</v>
      </c>
      <c r="C191" s="32">
        <v>194.20500000000001</v>
      </c>
      <c r="D191" s="32">
        <v>267.46600000000001</v>
      </c>
      <c r="E191" s="38">
        <v>812.32899999999995</v>
      </c>
      <c r="F191" s="32">
        <v>1274</v>
      </c>
      <c r="G191" s="32">
        <v>50</v>
      </c>
      <c r="H191" s="40">
        <v>600</v>
      </c>
      <c r="I191" s="32">
        <v>695</v>
      </c>
      <c r="J191" s="32">
        <v>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ht="15.75">
      <c r="A192" s="13">
        <v>47696</v>
      </c>
      <c r="B192" s="41">
        <v>31</v>
      </c>
      <c r="C192" s="32">
        <v>194.20500000000001</v>
      </c>
      <c r="D192" s="32">
        <v>267.46600000000001</v>
      </c>
      <c r="E192" s="38">
        <v>812.32899999999995</v>
      </c>
      <c r="F192" s="32">
        <v>1274</v>
      </c>
      <c r="G192" s="32">
        <v>50</v>
      </c>
      <c r="H192" s="40">
        <v>600</v>
      </c>
      <c r="I192" s="32">
        <v>695</v>
      </c>
      <c r="J192" s="32">
        <v>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ht="15.75">
      <c r="A193" s="13">
        <v>47727</v>
      </c>
      <c r="B193" s="41">
        <v>30</v>
      </c>
      <c r="C193" s="32">
        <v>194.20500000000001</v>
      </c>
      <c r="D193" s="32">
        <v>267.46600000000001</v>
      </c>
      <c r="E193" s="38">
        <v>812.32899999999995</v>
      </c>
      <c r="F193" s="32">
        <v>1274</v>
      </c>
      <c r="G193" s="32">
        <v>50</v>
      </c>
      <c r="H193" s="40">
        <v>600</v>
      </c>
      <c r="I193" s="32">
        <v>695</v>
      </c>
      <c r="J193" s="32">
        <v>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15.75">
      <c r="A194" s="13">
        <v>47757</v>
      </c>
      <c r="B194" s="41">
        <v>31</v>
      </c>
      <c r="C194" s="32">
        <v>131.881</v>
      </c>
      <c r="D194" s="32">
        <v>277.16699999999997</v>
      </c>
      <c r="E194" s="38">
        <v>829.952</v>
      </c>
      <c r="F194" s="32">
        <v>1239</v>
      </c>
      <c r="G194" s="32">
        <v>75</v>
      </c>
      <c r="H194" s="40">
        <v>600</v>
      </c>
      <c r="I194" s="32">
        <v>695</v>
      </c>
      <c r="J194" s="32">
        <v>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15.75">
      <c r="A195" s="13">
        <v>47788</v>
      </c>
      <c r="B195" s="41">
        <v>30</v>
      </c>
      <c r="C195" s="32">
        <v>122.58</v>
      </c>
      <c r="D195" s="32">
        <v>297.94099999999997</v>
      </c>
      <c r="E195" s="38">
        <v>729.47900000000004</v>
      </c>
      <c r="F195" s="32">
        <v>1150</v>
      </c>
      <c r="G195" s="32">
        <v>100</v>
      </c>
      <c r="H195" s="40">
        <v>600</v>
      </c>
      <c r="I195" s="32">
        <v>695</v>
      </c>
      <c r="J195" s="32">
        <v>50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ht="15.75">
      <c r="A196" s="13">
        <v>47818</v>
      </c>
      <c r="B196" s="41">
        <v>31</v>
      </c>
      <c r="C196" s="32">
        <v>122.58</v>
      </c>
      <c r="D196" s="32">
        <v>297.94099999999997</v>
      </c>
      <c r="E196" s="38">
        <v>729.47900000000004</v>
      </c>
      <c r="F196" s="32">
        <v>1150</v>
      </c>
      <c r="G196" s="32">
        <v>100</v>
      </c>
      <c r="H196" s="40">
        <v>600</v>
      </c>
      <c r="I196" s="32">
        <v>695</v>
      </c>
      <c r="J196" s="32">
        <v>50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ht="15.75">
      <c r="A197" s="13">
        <v>47849</v>
      </c>
      <c r="B197" s="41">
        <v>31</v>
      </c>
      <c r="C197" s="32">
        <v>122.58</v>
      </c>
      <c r="D197" s="32">
        <v>297.94099999999997</v>
      </c>
      <c r="E197" s="38">
        <v>729.47900000000004</v>
      </c>
      <c r="F197" s="32">
        <v>1150</v>
      </c>
      <c r="G197" s="32">
        <v>100</v>
      </c>
      <c r="H197" s="40">
        <v>600</v>
      </c>
      <c r="I197" s="32">
        <v>695</v>
      </c>
      <c r="J197" s="32">
        <v>50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</row>
    <row r="198" spans="1:20" ht="15.75">
      <c r="A198" s="13">
        <v>47880</v>
      </c>
      <c r="B198" s="41">
        <v>28</v>
      </c>
      <c r="C198" s="32">
        <v>122.58</v>
      </c>
      <c r="D198" s="32">
        <v>297.94099999999997</v>
      </c>
      <c r="E198" s="38">
        <v>729.47900000000004</v>
      </c>
      <c r="F198" s="32">
        <v>1150</v>
      </c>
      <c r="G198" s="32">
        <v>100</v>
      </c>
      <c r="H198" s="40">
        <v>600</v>
      </c>
      <c r="I198" s="32">
        <v>695</v>
      </c>
      <c r="J198" s="32">
        <v>50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</row>
    <row r="199" spans="1:20" ht="15.75">
      <c r="A199" s="13">
        <v>47908</v>
      </c>
      <c r="B199" s="41">
        <v>31</v>
      </c>
      <c r="C199" s="32">
        <v>122.58</v>
      </c>
      <c r="D199" s="32">
        <v>297.94099999999997</v>
      </c>
      <c r="E199" s="38">
        <v>729.47900000000004</v>
      </c>
      <c r="F199" s="32">
        <v>1150</v>
      </c>
      <c r="G199" s="32">
        <v>100</v>
      </c>
      <c r="H199" s="40">
        <v>600</v>
      </c>
      <c r="I199" s="32">
        <v>695</v>
      </c>
      <c r="J199" s="32">
        <v>50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</row>
    <row r="200" spans="1:20" ht="15.75">
      <c r="A200" s="13">
        <v>47939</v>
      </c>
      <c r="B200" s="41">
        <v>30</v>
      </c>
      <c r="C200" s="32">
        <v>141.29300000000001</v>
      </c>
      <c r="D200" s="32">
        <v>267.99299999999999</v>
      </c>
      <c r="E200" s="38">
        <v>829.71400000000006</v>
      </c>
      <c r="F200" s="32">
        <v>1239</v>
      </c>
      <c r="G200" s="32">
        <v>100</v>
      </c>
      <c r="H200" s="40">
        <v>600</v>
      </c>
      <c r="I200" s="32">
        <v>695</v>
      </c>
      <c r="J200" s="32">
        <v>50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</row>
    <row r="201" spans="1:20" ht="15.75">
      <c r="A201" s="13">
        <v>47969</v>
      </c>
      <c r="B201" s="41">
        <v>31</v>
      </c>
      <c r="C201" s="32">
        <v>194.20500000000001</v>
      </c>
      <c r="D201" s="32">
        <v>267.46600000000001</v>
      </c>
      <c r="E201" s="38">
        <v>812.32899999999995</v>
      </c>
      <c r="F201" s="32">
        <v>1274</v>
      </c>
      <c r="G201" s="32">
        <v>75</v>
      </c>
      <c r="H201" s="40">
        <v>600</v>
      </c>
      <c r="I201" s="32">
        <v>695</v>
      </c>
      <c r="J201" s="32">
        <v>50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</row>
    <row r="202" spans="1:20" ht="15.75">
      <c r="A202" s="13">
        <v>48000</v>
      </c>
      <c r="B202" s="41">
        <v>30</v>
      </c>
      <c r="C202" s="32">
        <v>194.20500000000001</v>
      </c>
      <c r="D202" s="32">
        <v>267.46600000000001</v>
      </c>
      <c r="E202" s="38">
        <v>812.32899999999995</v>
      </c>
      <c r="F202" s="32">
        <v>1274</v>
      </c>
      <c r="G202" s="32">
        <v>50</v>
      </c>
      <c r="H202" s="40">
        <v>600</v>
      </c>
      <c r="I202" s="32">
        <v>695</v>
      </c>
      <c r="J202" s="32">
        <v>50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</row>
    <row r="203" spans="1:20" ht="15.75">
      <c r="A203" s="13">
        <v>48030</v>
      </c>
      <c r="B203" s="41">
        <v>31</v>
      </c>
      <c r="C203" s="32">
        <v>194.20500000000001</v>
      </c>
      <c r="D203" s="32">
        <v>267.46600000000001</v>
      </c>
      <c r="E203" s="38">
        <v>812.32899999999995</v>
      </c>
      <c r="F203" s="32">
        <v>1274</v>
      </c>
      <c r="G203" s="32">
        <v>50</v>
      </c>
      <c r="H203" s="40">
        <v>600</v>
      </c>
      <c r="I203" s="32">
        <v>695</v>
      </c>
      <c r="J203" s="32">
        <v>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</row>
    <row r="204" spans="1:20" ht="15.75">
      <c r="A204" s="13">
        <v>48061</v>
      </c>
      <c r="B204" s="41">
        <v>31</v>
      </c>
      <c r="C204" s="32">
        <v>194.20500000000001</v>
      </c>
      <c r="D204" s="32">
        <v>267.46600000000001</v>
      </c>
      <c r="E204" s="38">
        <v>812.32899999999995</v>
      </c>
      <c r="F204" s="32">
        <v>1274</v>
      </c>
      <c r="G204" s="32">
        <v>50</v>
      </c>
      <c r="H204" s="40">
        <v>600</v>
      </c>
      <c r="I204" s="32">
        <v>695</v>
      </c>
      <c r="J204" s="32">
        <v>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</row>
    <row r="205" spans="1:20" ht="15.75">
      <c r="A205" s="13">
        <v>48092</v>
      </c>
      <c r="B205" s="41">
        <v>30</v>
      </c>
      <c r="C205" s="32">
        <v>194.20500000000001</v>
      </c>
      <c r="D205" s="32">
        <v>267.46600000000001</v>
      </c>
      <c r="E205" s="38">
        <v>812.32899999999995</v>
      </c>
      <c r="F205" s="32">
        <v>1274</v>
      </c>
      <c r="G205" s="32">
        <v>50</v>
      </c>
      <c r="H205" s="40">
        <v>600</v>
      </c>
      <c r="I205" s="32">
        <v>695</v>
      </c>
      <c r="J205" s="32">
        <v>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</row>
    <row r="206" spans="1:20" ht="15.75">
      <c r="A206" s="13">
        <v>48122</v>
      </c>
      <c r="B206" s="41">
        <v>31</v>
      </c>
      <c r="C206" s="32">
        <v>131.881</v>
      </c>
      <c r="D206" s="32">
        <v>277.16699999999997</v>
      </c>
      <c r="E206" s="38">
        <v>829.952</v>
      </c>
      <c r="F206" s="32">
        <v>1239</v>
      </c>
      <c r="G206" s="32">
        <v>75</v>
      </c>
      <c r="H206" s="40">
        <v>600</v>
      </c>
      <c r="I206" s="32">
        <v>695</v>
      </c>
      <c r="J206" s="32">
        <v>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</row>
    <row r="207" spans="1:20" ht="15.75">
      <c r="A207" s="13">
        <v>48153</v>
      </c>
      <c r="B207" s="41">
        <v>30</v>
      </c>
      <c r="C207" s="32">
        <v>122.58</v>
      </c>
      <c r="D207" s="32">
        <v>297.94099999999997</v>
      </c>
      <c r="E207" s="38">
        <v>729.47900000000004</v>
      </c>
      <c r="F207" s="32">
        <v>1150</v>
      </c>
      <c r="G207" s="32">
        <v>100</v>
      </c>
      <c r="H207" s="40">
        <v>600</v>
      </c>
      <c r="I207" s="32">
        <v>695</v>
      </c>
      <c r="J207" s="32">
        <v>50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</row>
    <row r="208" spans="1:20" ht="15.75">
      <c r="A208" s="13">
        <v>48183</v>
      </c>
      <c r="B208" s="41">
        <v>31</v>
      </c>
      <c r="C208" s="32">
        <v>122.58</v>
      </c>
      <c r="D208" s="32">
        <v>297.94099999999997</v>
      </c>
      <c r="E208" s="38">
        <v>729.47900000000004</v>
      </c>
      <c r="F208" s="32">
        <v>1150</v>
      </c>
      <c r="G208" s="32">
        <v>100</v>
      </c>
      <c r="H208" s="40">
        <v>600</v>
      </c>
      <c r="I208" s="32">
        <v>695</v>
      </c>
      <c r="J208" s="32">
        <v>50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</row>
    <row r="209" spans="1:20" ht="15.75">
      <c r="A209" s="13">
        <v>48214</v>
      </c>
      <c r="B209" s="41">
        <v>31</v>
      </c>
      <c r="C209" s="32">
        <v>122.58</v>
      </c>
      <c r="D209" s="32">
        <v>297.94099999999997</v>
      </c>
      <c r="E209" s="38">
        <v>729.47900000000004</v>
      </c>
      <c r="F209" s="32">
        <v>1150</v>
      </c>
      <c r="G209" s="32">
        <v>100</v>
      </c>
      <c r="H209" s="40">
        <v>600</v>
      </c>
      <c r="I209" s="32">
        <v>695</v>
      </c>
      <c r="J209" s="32">
        <v>50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ht="15.75">
      <c r="A210" s="13">
        <v>48245</v>
      </c>
      <c r="B210" s="41">
        <v>29</v>
      </c>
      <c r="C210" s="32">
        <v>122.58</v>
      </c>
      <c r="D210" s="32">
        <v>297.94099999999997</v>
      </c>
      <c r="E210" s="38">
        <v>729.47900000000004</v>
      </c>
      <c r="F210" s="32">
        <v>1150</v>
      </c>
      <c r="G210" s="32">
        <v>100</v>
      </c>
      <c r="H210" s="40">
        <v>600</v>
      </c>
      <c r="I210" s="32">
        <v>695</v>
      </c>
      <c r="J210" s="32">
        <v>50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ht="15.75">
      <c r="A211" s="13">
        <v>48274</v>
      </c>
      <c r="B211" s="41">
        <v>31</v>
      </c>
      <c r="C211" s="32">
        <v>122.58</v>
      </c>
      <c r="D211" s="32">
        <v>297.94099999999997</v>
      </c>
      <c r="E211" s="38">
        <v>729.47900000000004</v>
      </c>
      <c r="F211" s="32">
        <v>1150</v>
      </c>
      <c r="G211" s="32">
        <v>100</v>
      </c>
      <c r="H211" s="40">
        <v>600</v>
      </c>
      <c r="I211" s="32">
        <v>695</v>
      </c>
      <c r="J211" s="32">
        <v>50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ht="15.75">
      <c r="A212" s="13">
        <v>48305</v>
      </c>
      <c r="B212" s="41">
        <v>30</v>
      </c>
      <c r="C212" s="32">
        <v>141.29300000000001</v>
      </c>
      <c r="D212" s="32">
        <v>267.99299999999999</v>
      </c>
      <c r="E212" s="38">
        <v>829.71400000000006</v>
      </c>
      <c r="F212" s="32">
        <v>1239</v>
      </c>
      <c r="G212" s="32">
        <v>100</v>
      </c>
      <c r="H212" s="40">
        <v>600</v>
      </c>
      <c r="I212" s="32">
        <v>695</v>
      </c>
      <c r="J212" s="32">
        <v>50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ht="15.75">
      <c r="A213" s="13">
        <v>48335</v>
      </c>
      <c r="B213" s="41">
        <v>31</v>
      </c>
      <c r="C213" s="32">
        <v>194.20500000000001</v>
      </c>
      <c r="D213" s="32">
        <v>267.46600000000001</v>
      </c>
      <c r="E213" s="38">
        <v>812.32899999999995</v>
      </c>
      <c r="F213" s="32">
        <v>1274</v>
      </c>
      <c r="G213" s="32">
        <v>75</v>
      </c>
      <c r="H213" s="40">
        <v>600</v>
      </c>
      <c r="I213" s="32">
        <v>695</v>
      </c>
      <c r="J213" s="32">
        <v>50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ht="15.75">
      <c r="A214" s="13">
        <v>48366</v>
      </c>
      <c r="B214" s="41">
        <v>30</v>
      </c>
      <c r="C214" s="32">
        <v>194.20500000000001</v>
      </c>
      <c r="D214" s="32">
        <v>267.46600000000001</v>
      </c>
      <c r="E214" s="38">
        <v>812.32899999999995</v>
      </c>
      <c r="F214" s="32">
        <v>1274</v>
      </c>
      <c r="G214" s="32">
        <v>50</v>
      </c>
      <c r="H214" s="40">
        <v>600</v>
      </c>
      <c r="I214" s="32">
        <v>695</v>
      </c>
      <c r="J214" s="32">
        <v>50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ht="15.75">
      <c r="A215" s="13">
        <v>48396</v>
      </c>
      <c r="B215" s="41">
        <v>31</v>
      </c>
      <c r="C215" s="32">
        <v>194.20500000000001</v>
      </c>
      <c r="D215" s="32">
        <v>267.46600000000001</v>
      </c>
      <c r="E215" s="38">
        <v>812.32899999999995</v>
      </c>
      <c r="F215" s="32">
        <v>1274</v>
      </c>
      <c r="G215" s="32">
        <v>50</v>
      </c>
      <c r="H215" s="40">
        <v>600</v>
      </c>
      <c r="I215" s="32">
        <v>695</v>
      </c>
      <c r="J215" s="32">
        <v>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ht="15.75">
      <c r="A216" s="13">
        <v>48427</v>
      </c>
      <c r="B216" s="41">
        <v>31</v>
      </c>
      <c r="C216" s="32">
        <v>194.20500000000001</v>
      </c>
      <c r="D216" s="32">
        <v>267.46600000000001</v>
      </c>
      <c r="E216" s="38">
        <v>812.32899999999995</v>
      </c>
      <c r="F216" s="32">
        <v>1274</v>
      </c>
      <c r="G216" s="32">
        <v>50</v>
      </c>
      <c r="H216" s="40">
        <v>600</v>
      </c>
      <c r="I216" s="32">
        <v>695</v>
      </c>
      <c r="J216" s="32">
        <v>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</row>
    <row r="217" spans="1:20" ht="15.75">
      <c r="A217" s="13">
        <v>48458</v>
      </c>
      <c r="B217" s="41">
        <v>30</v>
      </c>
      <c r="C217" s="32">
        <v>194.20500000000001</v>
      </c>
      <c r="D217" s="32">
        <v>267.46600000000001</v>
      </c>
      <c r="E217" s="38">
        <v>812.32899999999995</v>
      </c>
      <c r="F217" s="32">
        <v>1274</v>
      </c>
      <c r="G217" s="32">
        <v>50</v>
      </c>
      <c r="H217" s="40">
        <v>600</v>
      </c>
      <c r="I217" s="32">
        <v>695</v>
      </c>
      <c r="J217" s="32">
        <v>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ht="15.75">
      <c r="A218" s="13">
        <v>48488</v>
      </c>
      <c r="B218" s="41">
        <v>31</v>
      </c>
      <c r="C218" s="32">
        <v>131.881</v>
      </c>
      <c r="D218" s="32">
        <v>277.16699999999997</v>
      </c>
      <c r="E218" s="38">
        <v>829.952</v>
      </c>
      <c r="F218" s="32">
        <v>1239</v>
      </c>
      <c r="G218" s="32">
        <v>75</v>
      </c>
      <c r="H218" s="40">
        <v>600</v>
      </c>
      <c r="I218" s="32">
        <v>695</v>
      </c>
      <c r="J218" s="32">
        <v>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ht="15.75">
      <c r="A219" s="13">
        <v>48519</v>
      </c>
      <c r="B219" s="41">
        <v>30</v>
      </c>
      <c r="C219" s="32">
        <v>122.58</v>
      </c>
      <c r="D219" s="32">
        <v>297.94099999999997</v>
      </c>
      <c r="E219" s="38">
        <v>729.47900000000004</v>
      </c>
      <c r="F219" s="32">
        <v>1150</v>
      </c>
      <c r="G219" s="32">
        <v>100</v>
      </c>
      <c r="H219" s="40">
        <v>600</v>
      </c>
      <c r="I219" s="32">
        <v>695</v>
      </c>
      <c r="J219" s="32">
        <v>50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ht="15.75">
      <c r="A220" s="13">
        <v>48549</v>
      </c>
      <c r="B220" s="41">
        <v>31</v>
      </c>
      <c r="C220" s="32">
        <v>122.58</v>
      </c>
      <c r="D220" s="32">
        <v>297.94099999999997</v>
      </c>
      <c r="E220" s="38">
        <v>729.47900000000004</v>
      </c>
      <c r="F220" s="32">
        <v>1150</v>
      </c>
      <c r="G220" s="32">
        <v>100</v>
      </c>
      <c r="H220" s="40">
        <v>600</v>
      </c>
      <c r="I220" s="32">
        <v>695</v>
      </c>
      <c r="J220" s="32">
        <v>50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ht="15.75">
      <c r="A221" s="13">
        <v>48580</v>
      </c>
      <c r="B221" s="41">
        <v>31</v>
      </c>
      <c r="C221" s="32">
        <v>122.58</v>
      </c>
      <c r="D221" s="32">
        <v>297.94099999999997</v>
      </c>
      <c r="E221" s="38">
        <v>729.47900000000004</v>
      </c>
      <c r="F221" s="32">
        <v>1150</v>
      </c>
      <c r="G221" s="32">
        <v>100</v>
      </c>
      <c r="H221" s="40">
        <v>600</v>
      </c>
      <c r="I221" s="32">
        <v>695</v>
      </c>
      <c r="J221" s="32">
        <v>50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ht="15.75">
      <c r="A222" s="13">
        <v>48611</v>
      </c>
      <c r="B222" s="41">
        <v>28</v>
      </c>
      <c r="C222" s="32">
        <v>122.58</v>
      </c>
      <c r="D222" s="32">
        <v>297.94099999999997</v>
      </c>
      <c r="E222" s="38">
        <v>729.47900000000004</v>
      </c>
      <c r="F222" s="32">
        <v>1150</v>
      </c>
      <c r="G222" s="32">
        <v>100</v>
      </c>
      <c r="H222" s="40">
        <v>600</v>
      </c>
      <c r="I222" s="32">
        <v>695</v>
      </c>
      <c r="J222" s="32">
        <v>50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</row>
    <row r="223" spans="1:20" ht="15.75">
      <c r="A223" s="13">
        <v>48639</v>
      </c>
      <c r="B223" s="41">
        <v>31</v>
      </c>
      <c r="C223" s="32">
        <v>122.58</v>
      </c>
      <c r="D223" s="32">
        <v>297.94099999999997</v>
      </c>
      <c r="E223" s="38">
        <v>729.47900000000004</v>
      </c>
      <c r="F223" s="32">
        <v>1150</v>
      </c>
      <c r="G223" s="32">
        <v>100</v>
      </c>
      <c r="H223" s="40">
        <v>600</v>
      </c>
      <c r="I223" s="32">
        <v>695</v>
      </c>
      <c r="J223" s="32">
        <v>50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</row>
    <row r="224" spans="1:20" ht="15.75">
      <c r="A224" s="13">
        <v>48670</v>
      </c>
      <c r="B224" s="41">
        <v>30</v>
      </c>
      <c r="C224" s="32">
        <v>141.29300000000001</v>
      </c>
      <c r="D224" s="32">
        <v>267.99299999999999</v>
      </c>
      <c r="E224" s="38">
        <v>829.71400000000006</v>
      </c>
      <c r="F224" s="32">
        <v>1239</v>
      </c>
      <c r="G224" s="32">
        <v>100</v>
      </c>
      <c r="H224" s="40">
        <v>600</v>
      </c>
      <c r="I224" s="32">
        <v>695</v>
      </c>
      <c r="J224" s="32">
        <v>50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</row>
    <row r="225" spans="1:20" ht="15.75">
      <c r="A225" s="13">
        <v>48700</v>
      </c>
      <c r="B225" s="41">
        <v>31</v>
      </c>
      <c r="C225" s="32">
        <v>194.20500000000001</v>
      </c>
      <c r="D225" s="32">
        <v>267.46600000000001</v>
      </c>
      <c r="E225" s="38">
        <v>812.32899999999995</v>
      </c>
      <c r="F225" s="32">
        <v>1274</v>
      </c>
      <c r="G225" s="32">
        <v>75</v>
      </c>
      <c r="H225" s="40">
        <v>600</v>
      </c>
      <c r="I225" s="32">
        <v>695</v>
      </c>
      <c r="J225" s="32">
        <v>50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ht="15.75">
      <c r="A226" s="13">
        <v>48731</v>
      </c>
      <c r="B226" s="41">
        <v>30</v>
      </c>
      <c r="C226" s="32">
        <v>194.20500000000001</v>
      </c>
      <c r="D226" s="32">
        <v>267.46600000000001</v>
      </c>
      <c r="E226" s="38">
        <v>812.32899999999995</v>
      </c>
      <c r="F226" s="32">
        <v>1274</v>
      </c>
      <c r="G226" s="32">
        <v>50</v>
      </c>
      <c r="H226" s="40">
        <v>600</v>
      </c>
      <c r="I226" s="32">
        <v>695</v>
      </c>
      <c r="J226" s="32">
        <v>50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ht="15.75">
      <c r="A227" s="13">
        <v>48761</v>
      </c>
      <c r="B227" s="41">
        <v>31</v>
      </c>
      <c r="C227" s="32">
        <v>194.20500000000001</v>
      </c>
      <c r="D227" s="32">
        <v>267.46600000000001</v>
      </c>
      <c r="E227" s="38">
        <v>812.32899999999995</v>
      </c>
      <c r="F227" s="32">
        <v>1274</v>
      </c>
      <c r="G227" s="32">
        <v>50</v>
      </c>
      <c r="H227" s="40">
        <v>600</v>
      </c>
      <c r="I227" s="32">
        <v>695</v>
      </c>
      <c r="J227" s="32">
        <v>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ht="15.75">
      <c r="A228" s="13">
        <v>48792</v>
      </c>
      <c r="B228" s="41">
        <v>31</v>
      </c>
      <c r="C228" s="32">
        <v>194.20500000000001</v>
      </c>
      <c r="D228" s="32">
        <v>267.46600000000001</v>
      </c>
      <c r="E228" s="38">
        <v>812.32899999999995</v>
      </c>
      <c r="F228" s="32">
        <v>1274</v>
      </c>
      <c r="G228" s="32">
        <v>50</v>
      </c>
      <c r="H228" s="40">
        <v>600</v>
      </c>
      <c r="I228" s="32">
        <v>695</v>
      </c>
      <c r="J228" s="32">
        <v>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ht="15.75">
      <c r="A229" s="13">
        <v>48823</v>
      </c>
      <c r="B229" s="41">
        <v>30</v>
      </c>
      <c r="C229" s="32">
        <v>194.20500000000001</v>
      </c>
      <c r="D229" s="32">
        <v>267.46600000000001</v>
      </c>
      <c r="E229" s="38">
        <v>812.32899999999995</v>
      </c>
      <c r="F229" s="32">
        <v>1274</v>
      </c>
      <c r="G229" s="32">
        <v>50</v>
      </c>
      <c r="H229" s="40">
        <v>600</v>
      </c>
      <c r="I229" s="32">
        <v>695</v>
      </c>
      <c r="J229" s="32">
        <v>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ht="15.75">
      <c r="A230" s="13">
        <v>48853</v>
      </c>
      <c r="B230" s="41">
        <v>31</v>
      </c>
      <c r="C230" s="32">
        <v>131.881</v>
      </c>
      <c r="D230" s="32">
        <v>277.16699999999997</v>
      </c>
      <c r="E230" s="38">
        <v>829.952</v>
      </c>
      <c r="F230" s="32">
        <v>1239</v>
      </c>
      <c r="G230" s="32">
        <v>75</v>
      </c>
      <c r="H230" s="40">
        <v>600</v>
      </c>
      <c r="I230" s="32">
        <v>695</v>
      </c>
      <c r="J230" s="32">
        <v>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ht="15.75">
      <c r="A231" s="13">
        <v>48884</v>
      </c>
      <c r="B231" s="41">
        <v>30</v>
      </c>
      <c r="C231" s="32">
        <v>122.58</v>
      </c>
      <c r="D231" s="32">
        <v>297.94099999999997</v>
      </c>
      <c r="E231" s="38">
        <v>729.47900000000004</v>
      </c>
      <c r="F231" s="32">
        <v>1150</v>
      </c>
      <c r="G231" s="32">
        <v>100</v>
      </c>
      <c r="H231" s="40">
        <v>600</v>
      </c>
      <c r="I231" s="32">
        <v>695</v>
      </c>
      <c r="J231" s="32">
        <v>50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ht="15.75">
      <c r="A232" s="13">
        <v>48914</v>
      </c>
      <c r="B232" s="41">
        <v>31</v>
      </c>
      <c r="C232" s="32">
        <v>122.58</v>
      </c>
      <c r="D232" s="32">
        <v>297.94099999999997</v>
      </c>
      <c r="E232" s="38">
        <v>729.47900000000004</v>
      </c>
      <c r="F232" s="32">
        <v>1150</v>
      </c>
      <c r="G232" s="32">
        <v>100</v>
      </c>
      <c r="H232" s="40">
        <v>600</v>
      </c>
      <c r="I232" s="32">
        <v>695</v>
      </c>
      <c r="J232" s="32">
        <v>50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ht="15.75">
      <c r="A233" s="13">
        <v>48945</v>
      </c>
      <c r="B233" s="41">
        <v>31</v>
      </c>
      <c r="C233" s="32">
        <v>122.58</v>
      </c>
      <c r="D233" s="32">
        <v>297.94099999999997</v>
      </c>
      <c r="E233" s="38">
        <v>729.47900000000004</v>
      </c>
      <c r="F233" s="32">
        <v>1150</v>
      </c>
      <c r="G233" s="32">
        <v>100</v>
      </c>
      <c r="H233" s="40">
        <v>600</v>
      </c>
      <c r="I233" s="32">
        <v>695</v>
      </c>
      <c r="J233" s="32">
        <v>50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ht="15.75">
      <c r="A234" s="13">
        <v>48976</v>
      </c>
      <c r="B234" s="41">
        <v>28</v>
      </c>
      <c r="C234" s="32">
        <v>122.58</v>
      </c>
      <c r="D234" s="32">
        <v>297.94099999999997</v>
      </c>
      <c r="E234" s="38">
        <v>729.47900000000004</v>
      </c>
      <c r="F234" s="32">
        <v>1150</v>
      </c>
      <c r="G234" s="32">
        <v>100</v>
      </c>
      <c r="H234" s="40">
        <v>600</v>
      </c>
      <c r="I234" s="32">
        <v>695</v>
      </c>
      <c r="J234" s="32">
        <v>50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ht="15.75">
      <c r="A235" s="13">
        <v>49004</v>
      </c>
      <c r="B235" s="41">
        <v>31</v>
      </c>
      <c r="C235" s="32">
        <v>122.58</v>
      </c>
      <c r="D235" s="32">
        <v>297.94099999999997</v>
      </c>
      <c r="E235" s="38">
        <v>729.47900000000004</v>
      </c>
      <c r="F235" s="32">
        <v>1150</v>
      </c>
      <c r="G235" s="32">
        <v>100</v>
      </c>
      <c r="H235" s="40">
        <v>600</v>
      </c>
      <c r="I235" s="32">
        <v>695</v>
      </c>
      <c r="J235" s="32">
        <v>50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ht="15.75">
      <c r="A236" s="13">
        <v>49035</v>
      </c>
      <c r="B236" s="41">
        <v>30</v>
      </c>
      <c r="C236" s="32">
        <v>141.29300000000001</v>
      </c>
      <c r="D236" s="32">
        <v>267.99299999999999</v>
      </c>
      <c r="E236" s="38">
        <v>829.71400000000006</v>
      </c>
      <c r="F236" s="32">
        <v>1239</v>
      </c>
      <c r="G236" s="32">
        <v>100</v>
      </c>
      <c r="H236" s="40">
        <v>600</v>
      </c>
      <c r="I236" s="32">
        <v>695</v>
      </c>
      <c r="J236" s="32">
        <v>50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ht="15.75">
      <c r="A237" s="13">
        <v>49065</v>
      </c>
      <c r="B237" s="41">
        <v>31</v>
      </c>
      <c r="C237" s="32">
        <v>194.20500000000001</v>
      </c>
      <c r="D237" s="32">
        <v>267.46600000000001</v>
      </c>
      <c r="E237" s="38">
        <v>812.32899999999995</v>
      </c>
      <c r="F237" s="32">
        <v>1274</v>
      </c>
      <c r="G237" s="32">
        <v>75</v>
      </c>
      <c r="H237" s="40">
        <v>600</v>
      </c>
      <c r="I237" s="32">
        <v>695</v>
      </c>
      <c r="J237" s="32">
        <v>50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ht="15.75">
      <c r="A238" s="13">
        <v>49096</v>
      </c>
      <c r="B238" s="41">
        <v>30</v>
      </c>
      <c r="C238" s="32">
        <v>194.20500000000001</v>
      </c>
      <c r="D238" s="32">
        <v>267.46600000000001</v>
      </c>
      <c r="E238" s="38">
        <v>812.32899999999995</v>
      </c>
      <c r="F238" s="32">
        <v>1274</v>
      </c>
      <c r="G238" s="32">
        <v>50</v>
      </c>
      <c r="H238" s="40">
        <v>600</v>
      </c>
      <c r="I238" s="32">
        <v>695</v>
      </c>
      <c r="J238" s="32">
        <v>50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ht="15.75">
      <c r="A239" s="13">
        <v>49126</v>
      </c>
      <c r="B239" s="41">
        <v>31</v>
      </c>
      <c r="C239" s="32">
        <v>194.20500000000001</v>
      </c>
      <c r="D239" s="32">
        <v>267.46600000000001</v>
      </c>
      <c r="E239" s="38">
        <v>812.32899999999995</v>
      </c>
      <c r="F239" s="32">
        <v>1274</v>
      </c>
      <c r="G239" s="32">
        <v>50</v>
      </c>
      <c r="H239" s="40">
        <v>600</v>
      </c>
      <c r="I239" s="32">
        <v>695</v>
      </c>
      <c r="J239" s="32">
        <v>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ht="15.75">
      <c r="A240" s="13">
        <v>49157</v>
      </c>
      <c r="B240" s="41">
        <v>31</v>
      </c>
      <c r="C240" s="32">
        <v>194.20500000000001</v>
      </c>
      <c r="D240" s="32">
        <v>267.46600000000001</v>
      </c>
      <c r="E240" s="38">
        <v>812.32899999999995</v>
      </c>
      <c r="F240" s="32">
        <v>1274</v>
      </c>
      <c r="G240" s="32">
        <v>50</v>
      </c>
      <c r="H240" s="40">
        <v>600</v>
      </c>
      <c r="I240" s="32">
        <v>695</v>
      </c>
      <c r="J240" s="32">
        <v>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ht="15.75">
      <c r="A241" s="13">
        <v>49188</v>
      </c>
      <c r="B241" s="41">
        <v>30</v>
      </c>
      <c r="C241" s="32">
        <v>194.20500000000001</v>
      </c>
      <c r="D241" s="32">
        <v>267.46600000000001</v>
      </c>
      <c r="E241" s="38">
        <v>812.32899999999995</v>
      </c>
      <c r="F241" s="32">
        <v>1274</v>
      </c>
      <c r="G241" s="32">
        <v>50</v>
      </c>
      <c r="H241" s="40">
        <v>600</v>
      </c>
      <c r="I241" s="32">
        <v>695</v>
      </c>
      <c r="J241" s="32">
        <v>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ht="15.75">
      <c r="A242" s="13">
        <v>49218</v>
      </c>
      <c r="B242" s="41">
        <v>31</v>
      </c>
      <c r="C242" s="32">
        <v>131.881</v>
      </c>
      <c r="D242" s="32">
        <v>277.16699999999997</v>
      </c>
      <c r="E242" s="38">
        <v>829.952</v>
      </c>
      <c r="F242" s="32">
        <v>1239</v>
      </c>
      <c r="G242" s="32">
        <v>75</v>
      </c>
      <c r="H242" s="40">
        <v>600</v>
      </c>
      <c r="I242" s="32">
        <v>695</v>
      </c>
      <c r="J242" s="32">
        <v>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ht="15.75">
      <c r="A243" s="13">
        <v>49249</v>
      </c>
      <c r="B243" s="41">
        <v>30</v>
      </c>
      <c r="C243" s="32">
        <v>122.58</v>
      </c>
      <c r="D243" s="32">
        <v>297.94099999999997</v>
      </c>
      <c r="E243" s="38">
        <v>729.47900000000004</v>
      </c>
      <c r="F243" s="32">
        <v>1150</v>
      </c>
      <c r="G243" s="32">
        <v>100</v>
      </c>
      <c r="H243" s="40">
        <v>600</v>
      </c>
      <c r="I243" s="32">
        <v>695</v>
      </c>
      <c r="J243" s="32">
        <v>50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ht="15.75">
      <c r="A244" s="13">
        <v>49279</v>
      </c>
      <c r="B244" s="41">
        <v>31</v>
      </c>
      <c r="C244" s="32">
        <v>122.58</v>
      </c>
      <c r="D244" s="32">
        <v>297.94099999999997</v>
      </c>
      <c r="E244" s="38">
        <v>729.47900000000004</v>
      </c>
      <c r="F244" s="32">
        <v>1150</v>
      </c>
      <c r="G244" s="32">
        <v>100</v>
      </c>
      <c r="H244" s="40">
        <v>600</v>
      </c>
      <c r="I244" s="32">
        <v>695</v>
      </c>
      <c r="J244" s="32">
        <v>50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ht="15.75">
      <c r="A245" s="13">
        <v>49310</v>
      </c>
      <c r="B245" s="41">
        <v>31</v>
      </c>
      <c r="C245" s="32">
        <v>122.58</v>
      </c>
      <c r="D245" s="32">
        <v>297.94099999999997</v>
      </c>
      <c r="E245" s="38">
        <v>729.47900000000004</v>
      </c>
      <c r="F245" s="32">
        <v>1150</v>
      </c>
      <c r="G245" s="32">
        <v>100</v>
      </c>
      <c r="H245" s="40">
        <v>600</v>
      </c>
      <c r="I245" s="32">
        <v>695</v>
      </c>
      <c r="J245" s="32">
        <v>50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ht="15.75">
      <c r="A246" s="13">
        <v>49341</v>
      </c>
      <c r="B246" s="41">
        <v>28</v>
      </c>
      <c r="C246" s="32">
        <v>122.58</v>
      </c>
      <c r="D246" s="32">
        <v>297.94099999999997</v>
      </c>
      <c r="E246" s="38">
        <v>729.47900000000004</v>
      </c>
      <c r="F246" s="32">
        <v>1150</v>
      </c>
      <c r="G246" s="32">
        <v>100</v>
      </c>
      <c r="H246" s="40">
        <v>600</v>
      </c>
      <c r="I246" s="32">
        <v>695</v>
      </c>
      <c r="J246" s="32">
        <v>50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ht="15.75">
      <c r="A247" s="13">
        <v>49369</v>
      </c>
      <c r="B247" s="41">
        <v>31</v>
      </c>
      <c r="C247" s="32">
        <v>122.58</v>
      </c>
      <c r="D247" s="32">
        <v>297.94099999999997</v>
      </c>
      <c r="E247" s="38">
        <v>729.47900000000004</v>
      </c>
      <c r="F247" s="32">
        <v>1150</v>
      </c>
      <c r="G247" s="32">
        <v>100</v>
      </c>
      <c r="H247" s="40">
        <v>600</v>
      </c>
      <c r="I247" s="32">
        <v>695</v>
      </c>
      <c r="J247" s="32">
        <v>50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ht="15.75">
      <c r="A248" s="13">
        <v>49400</v>
      </c>
      <c r="B248" s="41">
        <v>30</v>
      </c>
      <c r="C248" s="32">
        <v>141.29300000000001</v>
      </c>
      <c r="D248" s="32">
        <v>267.99299999999999</v>
      </c>
      <c r="E248" s="38">
        <v>829.71400000000006</v>
      </c>
      <c r="F248" s="32">
        <v>1239</v>
      </c>
      <c r="G248" s="32">
        <v>100</v>
      </c>
      <c r="H248" s="40">
        <v>600</v>
      </c>
      <c r="I248" s="32">
        <v>695</v>
      </c>
      <c r="J248" s="32">
        <v>50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ht="15.75">
      <c r="A249" s="13">
        <v>49430</v>
      </c>
      <c r="B249" s="41">
        <v>31</v>
      </c>
      <c r="C249" s="32">
        <v>194.20500000000001</v>
      </c>
      <c r="D249" s="32">
        <v>267.46600000000001</v>
      </c>
      <c r="E249" s="38">
        <v>812.32899999999995</v>
      </c>
      <c r="F249" s="32">
        <v>1274</v>
      </c>
      <c r="G249" s="32">
        <v>75</v>
      </c>
      <c r="H249" s="40">
        <v>600</v>
      </c>
      <c r="I249" s="32">
        <v>695</v>
      </c>
      <c r="J249" s="32">
        <v>50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ht="15.75">
      <c r="A250" s="14">
        <v>49461</v>
      </c>
      <c r="B250" s="41">
        <v>30</v>
      </c>
      <c r="C250" s="32">
        <v>194.20500000000001</v>
      </c>
      <c r="D250" s="32">
        <v>267.46600000000001</v>
      </c>
      <c r="E250" s="38">
        <v>812.32899999999995</v>
      </c>
      <c r="F250" s="32">
        <v>1274</v>
      </c>
      <c r="G250" s="32">
        <v>50</v>
      </c>
      <c r="H250" s="40">
        <v>600</v>
      </c>
      <c r="I250" s="32">
        <v>695</v>
      </c>
      <c r="J250" s="32">
        <v>50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ht="15.75">
      <c r="A251" s="14">
        <v>49491</v>
      </c>
      <c r="B251" s="41">
        <v>31</v>
      </c>
      <c r="C251" s="32">
        <v>194.20500000000001</v>
      </c>
      <c r="D251" s="32">
        <v>267.46600000000001</v>
      </c>
      <c r="E251" s="38">
        <v>812.32899999999995</v>
      </c>
      <c r="F251" s="32">
        <v>1274</v>
      </c>
      <c r="G251" s="32">
        <v>50</v>
      </c>
      <c r="H251" s="40">
        <v>600</v>
      </c>
      <c r="I251" s="32">
        <v>695</v>
      </c>
      <c r="J251" s="32">
        <v>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ht="15.75">
      <c r="A252" s="14">
        <v>49522</v>
      </c>
      <c r="B252" s="41">
        <v>31</v>
      </c>
      <c r="C252" s="32">
        <v>194.20500000000001</v>
      </c>
      <c r="D252" s="32">
        <v>267.46600000000001</v>
      </c>
      <c r="E252" s="38">
        <v>812.32899999999995</v>
      </c>
      <c r="F252" s="32">
        <v>1274</v>
      </c>
      <c r="G252" s="32">
        <v>50</v>
      </c>
      <c r="H252" s="40">
        <v>600</v>
      </c>
      <c r="I252" s="32">
        <v>695</v>
      </c>
      <c r="J252" s="32">
        <v>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ht="15.75">
      <c r="A253" s="14">
        <v>49553</v>
      </c>
      <c r="B253" s="41">
        <v>30</v>
      </c>
      <c r="C253" s="32">
        <v>194.20500000000001</v>
      </c>
      <c r="D253" s="32">
        <v>267.46600000000001</v>
      </c>
      <c r="E253" s="38">
        <v>812.32899999999995</v>
      </c>
      <c r="F253" s="32">
        <v>1274</v>
      </c>
      <c r="G253" s="32">
        <v>50</v>
      </c>
      <c r="H253" s="40">
        <v>600</v>
      </c>
      <c r="I253" s="32">
        <v>695</v>
      </c>
      <c r="J253" s="32">
        <v>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ht="15.75">
      <c r="A254" s="14">
        <v>49583</v>
      </c>
      <c r="B254" s="41">
        <v>31</v>
      </c>
      <c r="C254" s="32">
        <v>131.881</v>
      </c>
      <c r="D254" s="32">
        <v>277.16699999999997</v>
      </c>
      <c r="E254" s="38">
        <v>829.952</v>
      </c>
      <c r="F254" s="32">
        <v>1239</v>
      </c>
      <c r="G254" s="32">
        <v>75</v>
      </c>
      <c r="H254" s="40">
        <v>600</v>
      </c>
      <c r="I254" s="32">
        <v>695</v>
      </c>
      <c r="J254" s="32">
        <v>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ht="15.75">
      <c r="A255" s="14">
        <v>49614</v>
      </c>
      <c r="B255" s="41">
        <v>30</v>
      </c>
      <c r="C255" s="32">
        <v>122.58</v>
      </c>
      <c r="D255" s="32">
        <v>297.94099999999997</v>
      </c>
      <c r="E255" s="38">
        <v>729.47900000000004</v>
      </c>
      <c r="F255" s="32">
        <v>1150</v>
      </c>
      <c r="G255" s="32">
        <v>100</v>
      </c>
      <c r="H255" s="40">
        <v>600</v>
      </c>
      <c r="I255" s="32">
        <v>695</v>
      </c>
      <c r="J255" s="32">
        <v>50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ht="15.75">
      <c r="A256" s="14">
        <v>49644</v>
      </c>
      <c r="B256" s="41">
        <v>31</v>
      </c>
      <c r="C256" s="32">
        <v>122.58</v>
      </c>
      <c r="D256" s="32">
        <v>297.94099999999997</v>
      </c>
      <c r="E256" s="38">
        <v>729.47900000000004</v>
      </c>
      <c r="F256" s="32">
        <v>1150</v>
      </c>
      <c r="G256" s="32">
        <v>100</v>
      </c>
      <c r="H256" s="40">
        <v>600</v>
      </c>
      <c r="I256" s="32">
        <v>695</v>
      </c>
      <c r="J256" s="32">
        <v>50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ht="15.75">
      <c r="A257" s="14">
        <v>49675</v>
      </c>
      <c r="B257" s="41">
        <v>31</v>
      </c>
      <c r="C257" s="32">
        <v>122.58</v>
      </c>
      <c r="D257" s="32">
        <v>297.94099999999997</v>
      </c>
      <c r="E257" s="38">
        <v>729.47900000000004</v>
      </c>
      <c r="F257" s="32">
        <v>1150</v>
      </c>
      <c r="G257" s="32">
        <v>100</v>
      </c>
      <c r="H257" s="40">
        <v>600</v>
      </c>
      <c r="I257" s="32">
        <v>695</v>
      </c>
      <c r="J257" s="32">
        <v>50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ht="15.75">
      <c r="A258" s="14">
        <v>49706</v>
      </c>
      <c r="B258" s="41">
        <v>29</v>
      </c>
      <c r="C258" s="32">
        <v>122.58</v>
      </c>
      <c r="D258" s="32">
        <v>297.94099999999997</v>
      </c>
      <c r="E258" s="38">
        <v>729.47900000000004</v>
      </c>
      <c r="F258" s="32">
        <v>1150</v>
      </c>
      <c r="G258" s="32">
        <v>100</v>
      </c>
      <c r="H258" s="40">
        <v>600</v>
      </c>
      <c r="I258" s="32">
        <v>695</v>
      </c>
      <c r="J258" s="32">
        <v>50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ht="15.75">
      <c r="A259" s="14">
        <v>49735</v>
      </c>
      <c r="B259" s="41">
        <v>31</v>
      </c>
      <c r="C259" s="32">
        <v>122.58</v>
      </c>
      <c r="D259" s="32">
        <v>297.94099999999997</v>
      </c>
      <c r="E259" s="38">
        <v>729.47900000000004</v>
      </c>
      <c r="F259" s="32">
        <v>1150</v>
      </c>
      <c r="G259" s="32">
        <v>100</v>
      </c>
      <c r="H259" s="40">
        <v>600</v>
      </c>
      <c r="I259" s="32">
        <v>695</v>
      </c>
      <c r="J259" s="32">
        <v>50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ht="15.75">
      <c r="A260" s="14">
        <v>49766</v>
      </c>
      <c r="B260" s="41">
        <v>30</v>
      </c>
      <c r="C260" s="32">
        <v>141.29300000000001</v>
      </c>
      <c r="D260" s="32">
        <v>267.99299999999999</v>
      </c>
      <c r="E260" s="38">
        <v>829.71400000000006</v>
      </c>
      <c r="F260" s="32">
        <v>1239</v>
      </c>
      <c r="G260" s="32">
        <v>100</v>
      </c>
      <c r="H260" s="40">
        <v>600</v>
      </c>
      <c r="I260" s="32">
        <v>695</v>
      </c>
      <c r="J260" s="32">
        <v>50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ht="15.75">
      <c r="A261" s="14">
        <v>49796</v>
      </c>
      <c r="B261" s="41">
        <v>31</v>
      </c>
      <c r="C261" s="32">
        <v>194.20500000000001</v>
      </c>
      <c r="D261" s="32">
        <v>267.46600000000001</v>
      </c>
      <c r="E261" s="38">
        <v>812.32899999999995</v>
      </c>
      <c r="F261" s="32">
        <v>1274</v>
      </c>
      <c r="G261" s="32">
        <v>75</v>
      </c>
      <c r="H261" s="40">
        <v>600</v>
      </c>
      <c r="I261" s="32">
        <v>695</v>
      </c>
      <c r="J261" s="32">
        <v>50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ht="15.75">
      <c r="A262" s="14">
        <v>49827</v>
      </c>
      <c r="B262" s="41">
        <v>30</v>
      </c>
      <c r="C262" s="32">
        <v>194.20500000000001</v>
      </c>
      <c r="D262" s="32">
        <v>267.46600000000001</v>
      </c>
      <c r="E262" s="38">
        <v>812.32899999999995</v>
      </c>
      <c r="F262" s="32">
        <v>1274</v>
      </c>
      <c r="G262" s="32">
        <v>50</v>
      </c>
      <c r="H262" s="40">
        <v>600</v>
      </c>
      <c r="I262" s="32">
        <v>695</v>
      </c>
      <c r="J262" s="32">
        <v>50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ht="15.75">
      <c r="A263" s="14">
        <v>49857</v>
      </c>
      <c r="B263" s="41">
        <v>31</v>
      </c>
      <c r="C263" s="32">
        <v>194.20500000000001</v>
      </c>
      <c r="D263" s="32">
        <v>267.46600000000001</v>
      </c>
      <c r="E263" s="38">
        <v>812.32899999999995</v>
      </c>
      <c r="F263" s="32">
        <v>1274</v>
      </c>
      <c r="G263" s="32">
        <v>50</v>
      </c>
      <c r="H263" s="40">
        <v>600</v>
      </c>
      <c r="I263" s="32">
        <v>695</v>
      </c>
      <c r="J263" s="32">
        <v>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ht="15.75">
      <c r="A264" s="14">
        <v>49888</v>
      </c>
      <c r="B264" s="41">
        <v>31</v>
      </c>
      <c r="C264" s="32">
        <v>194.20500000000001</v>
      </c>
      <c r="D264" s="32">
        <v>267.46600000000001</v>
      </c>
      <c r="E264" s="38">
        <v>812.32899999999995</v>
      </c>
      <c r="F264" s="32">
        <v>1274</v>
      </c>
      <c r="G264" s="32">
        <v>50</v>
      </c>
      <c r="H264" s="40">
        <v>600</v>
      </c>
      <c r="I264" s="32">
        <v>695</v>
      </c>
      <c r="J264" s="32">
        <v>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ht="15.75">
      <c r="A265" s="14">
        <v>49919</v>
      </c>
      <c r="B265" s="41">
        <v>30</v>
      </c>
      <c r="C265" s="32">
        <v>194.20500000000001</v>
      </c>
      <c r="D265" s="32">
        <v>267.46600000000001</v>
      </c>
      <c r="E265" s="38">
        <v>812.32899999999995</v>
      </c>
      <c r="F265" s="32">
        <v>1274</v>
      </c>
      <c r="G265" s="32">
        <v>50</v>
      </c>
      <c r="H265" s="40">
        <v>600</v>
      </c>
      <c r="I265" s="32">
        <v>695</v>
      </c>
      <c r="J265" s="32">
        <v>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ht="15.75">
      <c r="A266" s="14">
        <v>49949</v>
      </c>
      <c r="B266" s="41">
        <v>31</v>
      </c>
      <c r="C266" s="32">
        <v>131.881</v>
      </c>
      <c r="D266" s="32">
        <v>277.16699999999997</v>
      </c>
      <c r="E266" s="38">
        <v>829.952</v>
      </c>
      <c r="F266" s="32">
        <v>1239</v>
      </c>
      <c r="G266" s="32">
        <v>75</v>
      </c>
      <c r="H266" s="40">
        <v>600</v>
      </c>
      <c r="I266" s="32">
        <v>695</v>
      </c>
      <c r="J266" s="32">
        <v>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ht="15.75">
      <c r="A267" s="14">
        <v>49980</v>
      </c>
      <c r="B267" s="41">
        <v>30</v>
      </c>
      <c r="C267" s="32">
        <v>122.58</v>
      </c>
      <c r="D267" s="32">
        <v>297.94099999999997</v>
      </c>
      <c r="E267" s="38">
        <v>729.47900000000004</v>
      </c>
      <c r="F267" s="32">
        <v>1150</v>
      </c>
      <c r="G267" s="32">
        <v>100</v>
      </c>
      <c r="H267" s="40">
        <v>600</v>
      </c>
      <c r="I267" s="32">
        <v>695</v>
      </c>
      <c r="J267" s="32">
        <v>50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ht="15.75">
      <c r="A268" s="14">
        <v>50010</v>
      </c>
      <c r="B268" s="41">
        <v>31</v>
      </c>
      <c r="C268" s="32">
        <v>122.58</v>
      </c>
      <c r="D268" s="32">
        <v>297.94099999999997</v>
      </c>
      <c r="E268" s="38">
        <v>729.47900000000004</v>
      </c>
      <c r="F268" s="32">
        <v>1150</v>
      </c>
      <c r="G268" s="32">
        <v>100</v>
      </c>
      <c r="H268" s="40">
        <v>600</v>
      </c>
      <c r="I268" s="32">
        <v>695</v>
      </c>
      <c r="J268" s="32">
        <v>50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ht="15.75">
      <c r="A269" s="14">
        <v>50041</v>
      </c>
      <c r="B269" s="41">
        <v>31</v>
      </c>
      <c r="C269" s="32">
        <v>122.58</v>
      </c>
      <c r="D269" s="32">
        <v>297.94099999999997</v>
      </c>
      <c r="E269" s="38">
        <v>729.47900000000004</v>
      </c>
      <c r="F269" s="32">
        <v>1150</v>
      </c>
      <c r="G269" s="32">
        <v>100</v>
      </c>
      <c r="H269" s="40">
        <v>600</v>
      </c>
      <c r="I269" s="32">
        <v>695</v>
      </c>
      <c r="J269" s="32">
        <v>50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ht="15.75">
      <c r="A270" s="14">
        <v>50072</v>
      </c>
      <c r="B270" s="41">
        <v>28</v>
      </c>
      <c r="C270" s="32">
        <v>122.58</v>
      </c>
      <c r="D270" s="32">
        <v>297.94099999999997</v>
      </c>
      <c r="E270" s="38">
        <v>729.47900000000004</v>
      </c>
      <c r="F270" s="32">
        <v>1150</v>
      </c>
      <c r="G270" s="32">
        <v>100</v>
      </c>
      <c r="H270" s="40">
        <v>600</v>
      </c>
      <c r="I270" s="32">
        <v>695</v>
      </c>
      <c r="J270" s="32">
        <v>50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ht="15.75">
      <c r="A271" s="14">
        <v>50100</v>
      </c>
      <c r="B271" s="41">
        <v>31</v>
      </c>
      <c r="C271" s="32">
        <v>122.58</v>
      </c>
      <c r="D271" s="32">
        <v>297.94099999999997</v>
      </c>
      <c r="E271" s="38">
        <v>729.47900000000004</v>
      </c>
      <c r="F271" s="32">
        <v>1150</v>
      </c>
      <c r="G271" s="32">
        <v>100</v>
      </c>
      <c r="H271" s="40">
        <v>600</v>
      </c>
      <c r="I271" s="32">
        <v>695</v>
      </c>
      <c r="J271" s="32">
        <v>50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ht="15.75">
      <c r="A272" s="14">
        <v>50131</v>
      </c>
      <c r="B272" s="41">
        <v>30</v>
      </c>
      <c r="C272" s="32">
        <v>141.29300000000001</v>
      </c>
      <c r="D272" s="32">
        <v>267.99299999999999</v>
      </c>
      <c r="E272" s="38">
        <v>829.71400000000006</v>
      </c>
      <c r="F272" s="32">
        <v>1239</v>
      </c>
      <c r="G272" s="32">
        <v>100</v>
      </c>
      <c r="H272" s="40">
        <v>600</v>
      </c>
      <c r="I272" s="32">
        <v>695</v>
      </c>
      <c r="J272" s="32">
        <v>50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ht="15.75">
      <c r="A273" s="14">
        <v>50161</v>
      </c>
      <c r="B273" s="41">
        <v>31</v>
      </c>
      <c r="C273" s="32">
        <v>194.20500000000001</v>
      </c>
      <c r="D273" s="32">
        <v>267.46600000000001</v>
      </c>
      <c r="E273" s="38">
        <v>812.32899999999995</v>
      </c>
      <c r="F273" s="32">
        <v>1274</v>
      </c>
      <c r="G273" s="32">
        <v>75</v>
      </c>
      <c r="H273" s="40">
        <v>600</v>
      </c>
      <c r="I273" s="32">
        <v>695</v>
      </c>
      <c r="J273" s="32">
        <v>50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ht="15.75">
      <c r="A274" s="14">
        <v>50192</v>
      </c>
      <c r="B274" s="41">
        <v>30</v>
      </c>
      <c r="C274" s="32">
        <v>194.20500000000001</v>
      </c>
      <c r="D274" s="32">
        <v>267.46600000000001</v>
      </c>
      <c r="E274" s="38">
        <v>812.32899999999995</v>
      </c>
      <c r="F274" s="32">
        <v>1274</v>
      </c>
      <c r="G274" s="32">
        <v>50</v>
      </c>
      <c r="H274" s="40">
        <v>600</v>
      </c>
      <c r="I274" s="32">
        <v>695</v>
      </c>
      <c r="J274" s="32">
        <v>50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ht="15.75">
      <c r="A275" s="14">
        <v>50222</v>
      </c>
      <c r="B275" s="41">
        <v>31</v>
      </c>
      <c r="C275" s="32">
        <v>194.20500000000001</v>
      </c>
      <c r="D275" s="32">
        <v>267.46600000000001</v>
      </c>
      <c r="E275" s="38">
        <v>812.32899999999995</v>
      </c>
      <c r="F275" s="32">
        <v>1274</v>
      </c>
      <c r="G275" s="32">
        <v>50</v>
      </c>
      <c r="H275" s="40">
        <v>600</v>
      </c>
      <c r="I275" s="32">
        <v>695</v>
      </c>
      <c r="J275" s="32">
        <v>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ht="15.75">
      <c r="A276" s="14">
        <v>50253</v>
      </c>
      <c r="B276" s="41">
        <v>31</v>
      </c>
      <c r="C276" s="32">
        <v>194.20500000000001</v>
      </c>
      <c r="D276" s="32">
        <v>267.46600000000001</v>
      </c>
      <c r="E276" s="38">
        <v>812.32899999999995</v>
      </c>
      <c r="F276" s="32">
        <v>1274</v>
      </c>
      <c r="G276" s="32">
        <v>50</v>
      </c>
      <c r="H276" s="40">
        <v>600</v>
      </c>
      <c r="I276" s="32">
        <v>695</v>
      </c>
      <c r="J276" s="32">
        <v>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ht="15.75">
      <c r="A277" s="14">
        <v>50284</v>
      </c>
      <c r="B277" s="41">
        <v>30</v>
      </c>
      <c r="C277" s="32">
        <v>194.20500000000001</v>
      </c>
      <c r="D277" s="32">
        <v>267.46600000000001</v>
      </c>
      <c r="E277" s="38">
        <v>812.32899999999995</v>
      </c>
      <c r="F277" s="32">
        <v>1274</v>
      </c>
      <c r="G277" s="32">
        <v>50</v>
      </c>
      <c r="H277" s="40">
        <v>600</v>
      </c>
      <c r="I277" s="32">
        <v>695</v>
      </c>
      <c r="J277" s="32">
        <v>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ht="15.75">
      <c r="A278" s="14">
        <v>50314</v>
      </c>
      <c r="B278" s="41">
        <v>31</v>
      </c>
      <c r="C278" s="32">
        <v>131.881</v>
      </c>
      <c r="D278" s="32">
        <v>277.16699999999997</v>
      </c>
      <c r="E278" s="38">
        <v>829.952</v>
      </c>
      <c r="F278" s="32">
        <v>1239</v>
      </c>
      <c r="G278" s="32">
        <v>75</v>
      </c>
      <c r="H278" s="40">
        <v>600</v>
      </c>
      <c r="I278" s="32">
        <v>695</v>
      </c>
      <c r="J278" s="32">
        <v>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ht="15.75">
      <c r="A279" s="14">
        <v>50345</v>
      </c>
      <c r="B279" s="41">
        <v>30</v>
      </c>
      <c r="C279" s="32">
        <v>122.58</v>
      </c>
      <c r="D279" s="32">
        <v>297.94099999999997</v>
      </c>
      <c r="E279" s="38">
        <v>729.47900000000004</v>
      </c>
      <c r="F279" s="32">
        <v>1150</v>
      </c>
      <c r="G279" s="32">
        <v>100</v>
      </c>
      <c r="H279" s="40">
        <v>600</v>
      </c>
      <c r="I279" s="32">
        <v>695</v>
      </c>
      <c r="J279" s="32">
        <v>50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ht="15.75">
      <c r="A280" s="14">
        <v>50375</v>
      </c>
      <c r="B280" s="41">
        <v>31</v>
      </c>
      <c r="C280" s="32">
        <v>122.58</v>
      </c>
      <c r="D280" s="32">
        <v>297.94099999999997</v>
      </c>
      <c r="E280" s="38">
        <v>729.47900000000004</v>
      </c>
      <c r="F280" s="32">
        <v>1150</v>
      </c>
      <c r="G280" s="32">
        <v>100</v>
      </c>
      <c r="H280" s="40">
        <v>600</v>
      </c>
      <c r="I280" s="32">
        <v>695</v>
      </c>
      <c r="J280" s="32">
        <v>50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ht="15.75">
      <c r="A281" s="13">
        <v>50436</v>
      </c>
      <c r="B281" s="41">
        <v>31</v>
      </c>
      <c r="C281" s="32">
        <v>122.58</v>
      </c>
      <c r="D281" s="32">
        <v>297.94099999999997</v>
      </c>
      <c r="E281" s="38">
        <v>729.47900000000004</v>
      </c>
      <c r="F281" s="32">
        <v>1150</v>
      </c>
      <c r="G281" s="32">
        <v>100</v>
      </c>
      <c r="H281" s="40">
        <v>600</v>
      </c>
      <c r="I281" s="32">
        <v>695</v>
      </c>
      <c r="J281" s="32">
        <v>50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ht="15.75">
      <c r="A282" s="13">
        <v>50464</v>
      </c>
      <c r="B282" s="41">
        <v>28</v>
      </c>
      <c r="C282" s="32">
        <v>122.58</v>
      </c>
      <c r="D282" s="32">
        <v>297.94099999999997</v>
      </c>
      <c r="E282" s="38">
        <v>729.47900000000004</v>
      </c>
      <c r="F282" s="32">
        <v>1150</v>
      </c>
      <c r="G282" s="32">
        <v>100</v>
      </c>
      <c r="H282" s="40">
        <v>600</v>
      </c>
      <c r="I282" s="32">
        <v>695</v>
      </c>
      <c r="J282" s="32">
        <v>50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ht="15.75">
      <c r="A283" s="13">
        <v>50495</v>
      </c>
      <c r="B283" s="41">
        <v>31</v>
      </c>
      <c r="C283" s="32">
        <v>122.58</v>
      </c>
      <c r="D283" s="32">
        <v>297.94099999999997</v>
      </c>
      <c r="E283" s="38">
        <v>729.47900000000004</v>
      </c>
      <c r="F283" s="32">
        <v>1150</v>
      </c>
      <c r="G283" s="32">
        <v>100</v>
      </c>
      <c r="H283" s="40">
        <v>600</v>
      </c>
      <c r="I283" s="32">
        <v>695</v>
      </c>
      <c r="J283" s="32">
        <v>50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ht="15.75">
      <c r="A284" s="13">
        <v>50525</v>
      </c>
      <c r="B284" s="41">
        <v>30</v>
      </c>
      <c r="C284" s="32">
        <v>141.29300000000001</v>
      </c>
      <c r="D284" s="32">
        <v>267.99299999999999</v>
      </c>
      <c r="E284" s="38">
        <v>829.71400000000006</v>
      </c>
      <c r="F284" s="32">
        <v>1239</v>
      </c>
      <c r="G284" s="32">
        <v>100</v>
      </c>
      <c r="H284" s="40">
        <v>600</v>
      </c>
      <c r="I284" s="32">
        <v>695</v>
      </c>
      <c r="J284" s="32">
        <v>50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ht="15.75">
      <c r="A285" s="13">
        <v>50556</v>
      </c>
      <c r="B285" s="41">
        <v>31</v>
      </c>
      <c r="C285" s="32">
        <v>194.20500000000001</v>
      </c>
      <c r="D285" s="32">
        <v>267.46600000000001</v>
      </c>
      <c r="E285" s="38">
        <v>812.32899999999995</v>
      </c>
      <c r="F285" s="32">
        <v>1274</v>
      </c>
      <c r="G285" s="32">
        <v>75</v>
      </c>
      <c r="H285" s="40">
        <v>600</v>
      </c>
      <c r="I285" s="32">
        <v>695</v>
      </c>
      <c r="J285" s="32">
        <v>50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ht="15.75">
      <c r="A286" s="13">
        <v>50586</v>
      </c>
      <c r="B286" s="41">
        <v>30</v>
      </c>
      <c r="C286" s="32">
        <v>194.20500000000001</v>
      </c>
      <c r="D286" s="32">
        <v>267.46600000000001</v>
      </c>
      <c r="E286" s="38">
        <v>812.32899999999995</v>
      </c>
      <c r="F286" s="32">
        <v>1274</v>
      </c>
      <c r="G286" s="32">
        <v>50</v>
      </c>
      <c r="H286" s="40">
        <v>600</v>
      </c>
      <c r="I286" s="32">
        <v>695</v>
      </c>
      <c r="J286" s="32">
        <v>50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ht="15.75">
      <c r="A287" s="13">
        <v>50617</v>
      </c>
      <c r="B287" s="41">
        <v>31</v>
      </c>
      <c r="C287" s="32">
        <v>194.20500000000001</v>
      </c>
      <c r="D287" s="32">
        <v>267.46600000000001</v>
      </c>
      <c r="E287" s="38">
        <v>812.32899999999995</v>
      </c>
      <c r="F287" s="32">
        <v>1274</v>
      </c>
      <c r="G287" s="32">
        <v>50</v>
      </c>
      <c r="H287" s="40">
        <v>600</v>
      </c>
      <c r="I287" s="32">
        <v>695</v>
      </c>
      <c r="J287" s="32">
        <v>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ht="15.75">
      <c r="A288" s="13">
        <v>50648</v>
      </c>
      <c r="B288" s="41">
        <v>31</v>
      </c>
      <c r="C288" s="32">
        <v>194.20500000000001</v>
      </c>
      <c r="D288" s="32">
        <v>267.46600000000001</v>
      </c>
      <c r="E288" s="38">
        <v>812.32899999999995</v>
      </c>
      <c r="F288" s="32">
        <v>1274</v>
      </c>
      <c r="G288" s="32">
        <v>50</v>
      </c>
      <c r="H288" s="40">
        <v>600</v>
      </c>
      <c r="I288" s="32">
        <v>695</v>
      </c>
      <c r="J288" s="32">
        <v>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ht="15.75">
      <c r="A289" s="13">
        <v>50678</v>
      </c>
      <c r="B289" s="41">
        <v>30</v>
      </c>
      <c r="C289" s="32">
        <v>194.20500000000001</v>
      </c>
      <c r="D289" s="32">
        <v>267.46600000000001</v>
      </c>
      <c r="E289" s="38">
        <v>812.32899999999995</v>
      </c>
      <c r="F289" s="32">
        <v>1274</v>
      </c>
      <c r="G289" s="32">
        <v>50</v>
      </c>
      <c r="H289" s="40">
        <v>600</v>
      </c>
      <c r="I289" s="32">
        <v>695</v>
      </c>
      <c r="J289" s="32">
        <v>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ht="15.75">
      <c r="A290" s="13">
        <v>50709</v>
      </c>
      <c r="B290" s="41">
        <v>31</v>
      </c>
      <c r="C290" s="32">
        <v>131.881</v>
      </c>
      <c r="D290" s="32">
        <v>277.16699999999997</v>
      </c>
      <c r="E290" s="38">
        <v>829.952</v>
      </c>
      <c r="F290" s="32">
        <v>1239</v>
      </c>
      <c r="G290" s="32">
        <v>75</v>
      </c>
      <c r="H290" s="40">
        <v>600</v>
      </c>
      <c r="I290" s="32">
        <v>695</v>
      </c>
      <c r="J290" s="32">
        <v>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ht="15.75">
      <c r="A291" s="13">
        <v>50739</v>
      </c>
      <c r="B291" s="41">
        <v>30</v>
      </c>
      <c r="C291" s="32">
        <v>122.58</v>
      </c>
      <c r="D291" s="32">
        <v>297.94099999999997</v>
      </c>
      <c r="E291" s="38">
        <v>729.47900000000004</v>
      </c>
      <c r="F291" s="32">
        <v>1150</v>
      </c>
      <c r="G291" s="32">
        <v>100</v>
      </c>
      <c r="H291" s="40">
        <v>600</v>
      </c>
      <c r="I291" s="32">
        <v>695</v>
      </c>
      <c r="J291" s="32">
        <v>50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ht="15.75">
      <c r="A292" s="13">
        <v>50770</v>
      </c>
      <c r="B292" s="41">
        <v>31</v>
      </c>
      <c r="C292" s="32">
        <v>122.58</v>
      </c>
      <c r="D292" s="32">
        <v>297.94099999999997</v>
      </c>
      <c r="E292" s="38">
        <v>729.47900000000004</v>
      </c>
      <c r="F292" s="32">
        <v>1150</v>
      </c>
      <c r="G292" s="32">
        <v>100</v>
      </c>
      <c r="H292" s="40">
        <v>600</v>
      </c>
      <c r="I292" s="32">
        <v>695</v>
      </c>
      <c r="J292" s="32">
        <v>50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ht="15.75">
      <c r="A293" s="13">
        <v>50801</v>
      </c>
      <c r="B293" s="41">
        <v>31</v>
      </c>
      <c r="C293" s="32">
        <v>122.58</v>
      </c>
      <c r="D293" s="32">
        <v>297.94099999999997</v>
      </c>
      <c r="E293" s="38">
        <v>729.47900000000004</v>
      </c>
      <c r="F293" s="32">
        <v>1150</v>
      </c>
      <c r="G293" s="32">
        <v>100</v>
      </c>
      <c r="H293" s="40">
        <v>600</v>
      </c>
      <c r="I293" s="32">
        <v>695</v>
      </c>
      <c r="J293" s="32">
        <v>50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ht="15.75">
      <c r="A294" s="13">
        <v>50829</v>
      </c>
      <c r="B294" s="41">
        <v>28</v>
      </c>
      <c r="C294" s="32">
        <v>122.58</v>
      </c>
      <c r="D294" s="32">
        <v>297.94099999999997</v>
      </c>
      <c r="E294" s="38">
        <v>729.47900000000004</v>
      </c>
      <c r="F294" s="32">
        <v>1150</v>
      </c>
      <c r="G294" s="32">
        <v>100</v>
      </c>
      <c r="H294" s="40">
        <v>600</v>
      </c>
      <c r="I294" s="32">
        <v>695</v>
      </c>
      <c r="J294" s="32">
        <v>50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ht="15.75">
      <c r="A295" s="13">
        <v>50860</v>
      </c>
      <c r="B295" s="41">
        <v>31</v>
      </c>
      <c r="C295" s="32">
        <v>122.58</v>
      </c>
      <c r="D295" s="32">
        <v>297.94099999999997</v>
      </c>
      <c r="E295" s="38">
        <v>729.47900000000004</v>
      </c>
      <c r="F295" s="32">
        <v>1150</v>
      </c>
      <c r="G295" s="32">
        <v>100</v>
      </c>
      <c r="H295" s="40">
        <v>600</v>
      </c>
      <c r="I295" s="32">
        <v>695</v>
      </c>
      <c r="J295" s="32">
        <v>50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ht="15.75">
      <c r="A296" s="13">
        <v>50890</v>
      </c>
      <c r="B296" s="41">
        <v>30</v>
      </c>
      <c r="C296" s="32">
        <v>141.29300000000001</v>
      </c>
      <c r="D296" s="32">
        <v>267.99299999999999</v>
      </c>
      <c r="E296" s="38">
        <v>829.71400000000006</v>
      </c>
      <c r="F296" s="32">
        <v>1239</v>
      </c>
      <c r="G296" s="32">
        <v>100</v>
      </c>
      <c r="H296" s="40">
        <v>600</v>
      </c>
      <c r="I296" s="32">
        <v>695</v>
      </c>
      <c r="J296" s="32">
        <v>50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ht="15.75">
      <c r="A297" s="13">
        <v>50921</v>
      </c>
      <c r="B297" s="41">
        <v>31</v>
      </c>
      <c r="C297" s="32">
        <v>194.20500000000001</v>
      </c>
      <c r="D297" s="32">
        <v>267.46600000000001</v>
      </c>
      <c r="E297" s="38">
        <v>812.32899999999995</v>
      </c>
      <c r="F297" s="32">
        <v>1274</v>
      </c>
      <c r="G297" s="32">
        <v>75</v>
      </c>
      <c r="H297" s="40">
        <v>600</v>
      </c>
      <c r="I297" s="32">
        <v>695</v>
      </c>
      <c r="J297" s="32">
        <v>50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ht="15.75">
      <c r="A298" s="13">
        <v>50951</v>
      </c>
      <c r="B298" s="41">
        <v>30</v>
      </c>
      <c r="C298" s="32">
        <v>194.20500000000001</v>
      </c>
      <c r="D298" s="32">
        <v>267.46600000000001</v>
      </c>
      <c r="E298" s="38">
        <v>812.32899999999995</v>
      </c>
      <c r="F298" s="32">
        <v>1274</v>
      </c>
      <c r="G298" s="32">
        <v>50</v>
      </c>
      <c r="H298" s="40">
        <v>600</v>
      </c>
      <c r="I298" s="32">
        <v>695</v>
      </c>
      <c r="J298" s="32">
        <v>50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ht="15.75">
      <c r="A299" s="13">
        <v>50982</v>
      </c>
      <c r="B299" s="41">
        <v>31</v>
      </c>
      <c r="C299" s="32">
        <v>194.20500000000001</v>
      </c>
      <c r="D299" s="32">
        <v>267.46600000000001</v>
      </c>
      <c r="E299" s="38">
        <v>812.32899999999995</v>
      </c>
      <c r="F299" s="32">
        <v>1274</v>
      </c>
      <c r="G299" s="32">
        <v>50</v>
      </c>
      <c r="H299" s="40">
        <v>600</v>
      </c>
      <c r="I299" s="32">
        <v>695</v>
      </c>
      <c r="J299" s="32">
        <v>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ht="15.75">
      <c r="A300" s="13">
        <v>51013</v>
      </c>
      <c r="B300" s="41">
        <v>31</v>
      </c>
      <c r="C300" s="32">
        <v>194.20500000000001</v>
      </c>
      <c r="D300" s="32">
        <v>267.46600000000001</v>
      </c>
      <c r="E300" s="38">
        <v>812.32899999999995</v>
      </c>
      <c r="F300" s="32">
        <v>1274</v>
      </c>
      <c r="G300" s="32">
        <v>50</v>
      </c>
      <c r="H300" s="40">
        <v>600</v>
      </c>
      <c r="I300" s="32">
        <v>695</v>
      </c>
      <c r="J300" s="32">
        <v>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ht="15.75">
      <c r="A301" s="13">
        <v>51043</v>
      </c>
      <c r="B301" s="41">
        <v>30</v>
      </c>
      <c r="C301" s="32">
        <v>194.20500000000001</v>
      </c>
      <c r="D301" s="32">
        <v>267.46600000000001</v>
      </c>
      <c r="E301" s="38">
        <v>812.32899999999995</v>
      </c>
      <c r="F301" s="32">
        <v>1274</v>
      </c>
      <c r="G301" s="32">
        <v>50</v>
      </c>
      <c r="H301" s="40">
        <v>600</v>
      </c>
      <c r="I301" s="32">
        <v>695</v>
      </c>
      <c r="J301" s="32">
        <v>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ht="15.75">
      <c r="A302" s="13">
        <v>51074</v>
      </c>
      <c r="B302" s="41">
        <v>31</v>
      </c>
      <c r="C302" s="32">
        <v>131.881</v>
      </c>
      <c r="D302" s="32">
        <v>277.16699999999997</v>
      </c>
      <c r="E302" s="38">
        <v>829.952</v>
      </c>
      <c r="F302" s="32">
        <v>1239</v>
      </c>
      <c r="G302" s="32">
        <v>75</v>
      </c>
      <c r="H302" s="40">
        <v>600</v>
      </c>
      <c r="I302" s="32">
        <v>695</v>
      </c>
      <c r="J302" s="32">
        <v>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ht="15.75">
      <c r="A303" s="13">
        <v>51104</v>
      </c>
      <c r="B303" s="41">
        <v>30</v>
      </c>
      <c r="C303" s="32">
        <v>122.58</v>
      </c>
      <c r="D303" s="32">
        <v>297.94099999999997</v>
      </c>
      <c r="E303" s="38">
        <v>729.47900000000004</v>
      </c>
      <c r="F303" s="32">
        <v>1150</v>
      </c>
      <c r="G303" s="32">
        <v>100</v>
      </c>
      <c r="H303" s="40">
        <v>600</v>
      </c>
      <c r="I303" s="32">
        <v>695</v>
      </c>
      <c r="J303" s="32">
        <v>50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ht="15.75">
      <c r="A304" s="13">
        <v>51135</v>
      </c>
      <c r="B304" s="41">
        <v>31</v>
      </c>
      <c r="C304" s="32">
        <v>122.58</v>
      </c>
      <c r="D304" s="32">
        <v>297.94099999999997</v>
      </c>
      <c r="E304" s="38">
        <v>729.47900000000004</v>
      </c>
      <c r="F304" s="32">
        <v>1150</v>
      </c>
      <c r="G304" s="32">
        <v>100</v>
      </c>
      <c r="H304" s="40">
        <v>600</v>
      </c>
      <c r="I304" s="32">
        <v>695</v>
      </c>
      <c r="J304" s="32">
        <v>50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ht="15.75">
      <c r="A305" s="13">
        <v>51166</v>
      </c>
      <c r="B305" s="41">
        <v>31</v>
      </c>
      <c r="C305" s="32">
        <v>122.58</v>
      </c>
      <c r="D305" s="32">
        <v>297.94099999999997</v>
      </c>
      <c r="E305" s="38">
        <v>729.47900000000004</v>
      </c>
      <c r="F305" s="32">
        <v>1150</v>
      </c>
      <c r="G305" s="32">
        <v>100</v>
      </c>
      <c r="H305" s="40">
        <v>600</v>
      </c>
      <c r="I305" s="32">
        <v>695</v>
      </c>
      <c r="J305" s="32">
        <v>50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ht="15.75">
      <c r="A306" s="13">
        <v>51194</v>
      </c>
      <c r="B306" s="41">
        <v>29</v>
      </c>
      <c r="C306" s="32">
        <v>122.58</v>
      </c>
      <c r="D306" s="32">
        <v>297.94099999999997</v>
      </c>
      <c r="E306" s="38">
        <v>729.47900000000004</v>
      </c>
      <c r="F306" s="32">
        <v>1150</v>
      </c>
      <c r="G306" s="32">
        <v>100</v>
      </c>
      <c r="H306" s="40">
        <v>600</v>
      </c>
      <c r="I306" s="32">
        <v>695</v>
      </c>
      <c r="J306" s="32">
        <v>50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ht="15.75">
      <c r="A307" s="13">
        <v>51226</v>
      </c>
      <c r="B307" s="41">
        <v>31</v>
      </c>
      <c r="C307" s="32">
        <v>122.58</v>
      </c>
      <c r="D307" s="32">
        <v>297.94099999999997</v>
      </c>
      <c r="E307" s="38">
        <v>729.47900000000004</v>
      </c>
      <c r="F307" s="32">
        <v>1150</v>
      </c>
      <c r="G307" s="32">
        <v>100</v>
      </c>
      <c r="H307" s="40">
        <v>600</v>
      </c>
      <c r="I307" s="32">
        <v>695</v>
      </c>
      <c r="J307" s="32">
        <v>50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ht="15.75">
      <c r="A308" s="13">
        <v>51256</v>
      </c>
      <c r="B308" s="41">
        <v>30</v>
      </c>
      <c r="C308" s="32">
        <v>141.29300000000001</v>
      </c>
      <c r="D308" s="32">
        <v>267.99299999999999</v>
      </c>
      <c r="E308" s="38">
        <v>829.71400000000006</v>
      </c>
      <c r="F308" s="32">
        <v>1239</v>
      </c>
      <c r="G308" s="32">
        <v>100</v>
      </c>
      <c r="H308" s="40">
        <v>600</v>
      </c>
      <c r="I308" s="32">
        <v>695</v>
      </c>
      <c r="J308" s="32">
        <v>50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ht="15.75">
      <c r="A309" s="13">
        <v>51287</v>
      </c>
      <c r="B309" s="41">
        <v>31</v>
      </c>
      <c r="C309" s="32">
        <v>194.20500000000001</v>
      </c>
      <c r="D309" s="32">
        <v>267.46600000000001</v>
      </c>
      <c r="E309" s="38">
        <v>812.32899999999995</v>
      </c>
      <c r="F309" s="32">
        <v>1274</v>
      </c>
      <c r="G309" s="32">
        <v>75</v>
      </c>
      <c r="H309" s="40">
        <v>600</v>
      </c>
      <c r="I309" s="32">
        <v>695</v>
      </c>
      <c r="J309" s="32">
        <v>50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ht="15.75">
      <c r="A310" s="13">
        <v>51317</v>
      </c>
      <c r="B310" s="41">
        <v>30</v>
      </c>
      <c r="C310" s="32">
        <v>194.20500000000001</v>
      </c>
      <c r="D310" s="32">
        <v>267.46600000000001</v>
      </c>
      <c r="E310" s="38">
        <v>812.32899999999995</v>
      </c>
      <c r="F310" s="32">
        <v>1274</v>
      </c>
      <c r="G310" s="32">
        <v>50</v>
      </c>
      <c r="H310" s="40">
        <v>600</v>
      </c>
      <c r="I310" s="32">
        <v>695</v>
      </c>
      <c r="J310" s="32">
        <v>50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ht="15.75">
      <c r="A311" s="13">
        <v>51348</v>
      </c>
      <c r="B311" s="41">
        <v>31</v>
      </c>
      <c r="C311" s="32">
        <v>194.20500000000001</v>
      </c>
      <c r="D311" s="32">
        <v>267.46600000000001</v>
      </c>
      <c r="E311" s="38">
        <v>812.32899999999995</v>
      </c>
      <c r="F311" s="32">
        <v>1274</v>
      </c>
      <c r="G311" s="32">
        <v>50</v>
      </c>
      <c r="H311" s="40">
        <v>600</v>
      </c>
      <c r="I311" s="32">
        <v>695</v>
      </c>
      <c r="J311" s="32">
        <v>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ht="15.75">
      <c r="A312" s="13">
        <v>51379</v>
      </c>
      <c r="B312" s="41">
        <v>31</v>
      </c>
      <c r="C312" s="32">
        <v>194.20500000000001</v>
      </c>
      <c r="D312" s="32">
        <v>267.46600000000001</v>
      </c>
      <c r="E312" s="38">
        <v>812.32899999999995</v>
      </c>
      <c r="F312" s="32">
        <v>1274</v>
      </c>
      <c r="G312" s="32">
        <v>50</v>
      </c>
      <c r="H312" s="40">
        <v>600</v>
      </c>
      <c r="I312" s="32">
        <v>695</v>
      </c>
      <c r="J312" s="32">
        <v>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ht="15.75">
      <c r="A313" s="13">
        <v>51409</v>
      </c>
      <c r="B313" s="41">
        <v>30</v>
      </c>
      <c r="C313" s="32">
        <v>194.20500000000001</v>
      </c>
      <c r="D313" s="32">
        <v>267.46600000000001</v>
      </c>
      <c r="E313" s="38">
        <v>812.32899999999995</v>
      </c>
      <c r="F313" s="32">
        <v>1274</v>
      </c>
      <c r="G313" s="32">
        <v>50</v>
      </c>
      <c r="H313" s="40">
        <v>600</v>
      </c>
      <c r="I313" s="32">
        <v>695</v>
      </c>
      <c r="J313" s="32">
        <v>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ht="15.75">
      <c r="A314" s="13">
        <v>51440</v>
      </c>
      <c r="B314" s="41">
        <v>31</v>
      </c>
      <c r="C314" s="32">
        <v>131.881</v>
      </c>
      <c r="D314" s="32">
        <v>277.16699999999997</v>
      </c>
      <c r="E314" s="38">
        <v>829.952</v>
      </c>
      <c r="F314" s="32">
        <v>1239</v>
      </c>
      <c r="G314" s="32">
        <v>75</v>
      </c>
      <c r="H314" s="40">
        <v>600</v>
      </c>
      <c r="I314" s="32">
        <v>695</v>
      </c>
      <c r="J314" s="32">
        <v>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ht="15.75">
      <c r="A315" s="13">
        <v>51470</v>
      </c>
      <c r="B315" s="41">
        <v>30</v>
      </c>
      <c r="C315" s="32">
        <v>122.58</v>
      </c>
      <c r="D315" s="32">
        <v>297.94099999999997</v>
      </c>
      <c r="E315" s="38">
        <v>729.47900000000004</v>
      </c>
      <c r="F315" s="32">
        <v>1150</v>
      </c>
      <c r="G315" s="32">
        <v>100</v>
      </c>
      <c r="H315" s="40">
        <v>600</v>
      </c>
      <c r="I315" s="32">
        <v>695</v>
      </c>
      <c r="J315" s="32">
        <v>50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ht="15.75">
      <c r="A316" s="13">
        <v>51501</v>
      </c>
      <c r="B316" s="41">
        <v>31</v>
      </c>
      <c r="C316" s="32">
        <v>122.58</v>
      </c>
      <c r="D316" s="32">
        <v>297.94099999999997</v>
      </c>
      <c r="E316" s="38">
        <v>729.47900000000004</v>
      </c>
      <c r="F316" s="32">
        <v>1150</v>
      </c>
      <c r="G316" s="32">
        <v>100</v>
      </c>
      <c r="H316" s="40">
        <v>600</v>
      </c>
      <c r="I316" s="32">
        <v>695</v>
      </c>
      <c r="J316" s="32">
        <v>50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ht="15.75">
      <c r="A317" s="13">
        <v>51532</v>
      </c>
      <c r="B317" s="41">
        <v>31</v>
      </c>
      <c r="C317" s="32">
        <v>122.58</v>
      </c>
      <c r="D317" s="32">
        <v>297.94099999999997</v>
      </c>
      <c r="E317" s="38">
        <v>729.47900000000004</v>
      </c>
      <c r="F317" s="32">
        <v>1150</v>
      </c>
      <c r="G317" s="32">
        <v>100</v>
      </c>
      <c r="H317" s="40">
        <v>600</v>
      </c>
      <c r="I317" s="32">
        <v>695</v>
      </c>
      <c r="J317" s="32">
        <v>50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ht="15.75">
      <c r="A318" s="13">
        <v>51560</v>
      </c>
      <c r="B318" s="41">
        <v>28</v>
      </c>
      <c r="C318" s="32">
        <v>122.58</v>
      </c>
      <c r="D318" s="32">
        <v>297.94099999999997</v>
      </c>
      <c r="E318" s="38">
        <v>729.47900000000004</v>
      </c>
      <c r="F318" s="32">
        <v>1150</v>
      </c>
      <c r="G318" s="32">
        <v>100</v>
      </c>
      <c r="H318" s="40">
        <v>600</v>
      </c>
      <c r="I318" s="32">
        <v>695</v>
      </c>
      <c r="J318" s="32">
        <v>50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ht="15.75">
      <c r="A319" s="13">
        <v>51591</v>
      </c>
      <c r="B319" s="41">
        <v>31</v>
      </c>
      <c r="C319" s="32">
        <v>122.58</v>
      </c>
      <c r="D319" s="32">
        <v>297.94099999999997</v>
      </c>
      <c r="E319" s="38">
        <v>729.47900000000004</v>
      </c>
      <c r="F319" s="32">
        <v>1150</v>
      </c>
      <c r="G319" s="32">
        <v>100</v>
      </c>
      <c r="H319" s="40">
        <v>600</v>
      </c>
      <c r="I319" s="32">
        <v>695</v>
      </c>
      <c r="J319" s="32">
        <v>50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ht="15.75">
      <c r="A320" s="13">
        <v>51621</v>
      </c>
      <c r="B320" s="41">
        <v>30</v>
      </c>
      <c r="C320" s="32">
        <v>141.29300000000001</v>
      </c>
      <c r="D320" s="32">
        <v>267.99299999999999</v>
      </c>
      <c r="E320" s="38">
        <v>829.71400000000006</v>
      </c>
      <c r="F320" s="32">
        <v>1239</v>
      </c>
      <c r="G320" s="32">
        <v>100</v>
      </c>
      <c r="H320" s="40">
        <v>600</v>
      </c>
      <c r="I320" s="32">
        <v>695</v>
      </c>
      <c r="J320" s="32">
        <v>50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ht="15.75">
      <c r="A321" s="13">
        <v>51652</v>
      </c>
      <c r="B321" s="41">
        <v>31</v>
      </c>
      <c r="C321" s="32">
        <v>194.20500000000001</v>
      </c>
      <c r="D321" s="32">
        <v>267.46600000000001</v>
      </c>
      <c r="E321" s="38">
        <v>812.32899999999995</v>
      </c>
      <c r="F321" s="32">
        <v>1274</v>
      </c>
      <c r="G321" s="32">
        <v>75</v>
      </c>
      <c r="H321" s="40">
        <v>600</v>
      </c>
      <c r="I321" s="32">
        <v>695</v>
      </c>
      <c r="J321" s="32">
        <v>50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ht="15.75">
      <c r="A322" s="13">
        <v>51682</v>
      </c>
      <c r="B322" s="41">
        <v>30</v>
      </c>
      <c r="C322" s="32">
        <v>194.20500000000001</v>
      </c>
      <c r="D322" s="32">
        <v>267.46600000000001</v>
      </c>
      <c r="E322" s="38">
        <v>812.32899999999995</v>
      </c>
      <c r="F322" s="32">
        <v>1274</v>
      </c>
      <c r="G322" s="32">
        <v>50</v>
      </c>
      <c r="H322" s="40">
        <v>600</v>
      </c>
      <c r="I322" s="32">
        <v>695</v>
      </c>
      <c r="J322" s="32">
        <v>50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ht="15.75">
      <c r="A323" s="13">
        <v>51713</v>
      </c>
      <c r="B323" s="41">
        <v>31</v>
      </c>
      <c r="C323" s="32">
        <v>194.20500000000001</v>
      </c>
      <c r="D323" s="32">
        <v>267.46600000000001</v>
      </c>
      <c r="E323" s="38">
        <v>812.32899999999995</v>
      </c>
      <c r="F323" s="32">
        <v>1274</v>
      </c>
      <c r="G323" s="32">
        <v>50</v>
      </c>
      <c r="H323" s="40">
        <v>600</v>
      </c>
      <c r="I323" s="32">
        <v>695</v>
      </c>
      <c r="J323" s="32">
        <v>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ht="15.75">
      <c r="A324" s="13">
        <v>51744</v>
      </c>
      <c r="B324" s="41">
        <v>31</v>
      </c>
      <c r="C324" s="32">
        <v>194.20500000000001</v>
      </c>
      <c r="D324" s="32">
        <v>267.46600000000001</v>
      </c>
      <c r="E324" s="38">
        <v>812.32899999999995</v>
      </c>
      <c r="F324" s="32">
        <v>1274</v>
      </c>
      <c r="G324" s="32">
        <v>50</v>
      </c>
      <c r="H324" s="40">
        <v>600</v>
      </c>
      <c r="I324" s="32">
        <v>695</v>
      </c>
      <c r="J324" s="32">
        <v>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ht="15.75">
      <c r="A325" s="13">
        <v>51774</v>
      </c>
      <c r="B325" s="41">
        <v>30</v>
      </c>
      <c r="C325" s="32">
        <v>194.20500000000001</v>
      </c>
      <c r="D325" s="32">
        <v>267.46600000000001</v>
      </c>
      <c r="E325" s="38">
        <v>812.32899999999995</v>
      </c>
      <c r="F325" s="32">
        <v>1274</v>
      </c>
      <c r="G325" s="32">
        <v>50</v>
      </c>
      <c r="H325" s="40">
        <v>600</v>
      </c>
      <c r="I325" s="32">
        <v>695</v>
      </c>
      <c r="J325" s="32">
        <v>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ht="15.75">
      <c r="A326" s="13">
        <v>51805</v>
      </c>
      <c r="B326" s="41">
        <v>31</v>
      </c>
      <c r="C326" s="32">
        <v>131.881</v>
      </c>
      <c r="D326" s="32">
        <v>277.16699999999997</v>
      </c>
      <c r="E326" s="38">
        <v>829.952</v>
      </c>
      <c r="F326" s="32">
        <v>1239</v>
      </c>
      <c r="G326" s="32">
        <v>75</v>
      </c>
      <c r="H326" s="40">
        <v>600</v>
      </c>
      <c r="I326" s="32">
        <v>695</v>
      </c>
      <c r="J326" s="32">
        <v>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ht="15.75">
      <c r="A327" s="13">
        <v>51835</v>
      </c>
      <c r="B327" s="41">
        <v>30</v>
      </c>
      <c r="C327" s="32">
        <v>122.58</v>
      </c>
      <c r="D327" s="32">
        <v>297.94099999999997</v>
      </c>
      <c r="E327" s="38">
        <v>729.47900000000004</v>
      </c>
      <c r="F327" s="32">
        <v>1150</v>
      </c>
      <c r="G327" s="32">
        <v>100</v>
      </c>
      <c r="H327" s="40">
        <v>600</v>
      </c>
      <c r="I327" s="32">
        <v>695</v>
      </c>
      <c r="J327" s="32">
        <v>50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ht="15.75">
      <c r="A328" s="13">
        <v>51866</v>
      </c>
      <c r="B328" s="41">
        <v>31</v>
      </c>
      <c r="C328" s="32">
        <v>122.58</v>
      </c>
      <c r="D328" s="32">
        <v>297.94099999999997</v>
      </c>
      <c r="E328" s="38">
        <v>729.47900000000004</v>
      </c>
      <c r="F328" s="32">
        <v>1150</v>
      </c>
      <c r="G328" s="32">
        <v>100</v>
      </c>
      <c r="H328" s="40">
        <v>600</v>
      </c>
      <c r="I328" s="32">
        <v>695</v>
      </c>
      <c r="J328" s="32">
        <v>50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ht="15.75">
      <c r="A329" s="13">
        <v>51897</v>
      </c>
      <c r="B329" s="41">
        <v>31</v>
      </c>
      <c r="C329" s="32">
        <v>122.58</v>
      </c>
      <c r="D329" s="32">
        <v>297.94099999999997</v>
      </c>
      <c r="E329" s="38">
        <v>729.47900000000004</v>
      </c>
      <c r="F329" s="32">
        <v>1150</v>
      </c>
      <c r="G329" s="32">
        <v>100</v>
      </c>
      <c r="H329" s="40">
        <v>600</v>
      </c>
      <c r="I329" s="32">
        <v>695</v>
      </c>
      <c r="J329" s="32">
        <v>50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ht="15.75">
      <c r="A330" s="13">
        <v>51925</v>
      </c>
      <c r="B330" s="41">
        <v>28</v>
      </c>
      <c r="C330" s="32">
        <v>122.58</v>
      </c>
      <c r="D330" s="32">
        <v>297.94099999999997</v>
      </c>
      <c r="E330" s="38">
        <v>729.47900000000004</v>
      </c>
      <c r="F330" s="32">
        <v>1150</v>
      </c>
      <c r="G330" s="32">
        <v>100</v>
      </c>
      <c r="H330" s="40">
        <v>600</v>
      </c>
      <c r="I330" s="32">
        <v>695</v>
      </c>
      <c r="J330" s="32">
        <v>50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ht="15.75">
      <c r="A331" s="13">
        <v>51956</v>
      </c>
      <c r="B331" s="41">
        <v>31</v>
      </c>
      <c r="C331" s="32">
        <v>122.58</v>
      </c>
      <c r="D331" s="32">
        <v>297.94099999999997</v>
      </c>
      <c r="E331" s="38">
        <v>729.47900000000004</v>
      </c>
      <c r="F331" s="32">
        <v>1150</v>
      </c>
      <c r="G331" s="32">
        <v>100</v>
      </c>
      <c r="H331" s="40">
        <v>600</v>
      </c>
      <c r="I331" s="32">
        <v>695</v>
      </c>
      <c r="J331" s="32">
        <v>50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ht="15.75">
      <c r="A332" s="13">
        <v>51986</v>
      </c>
      <c r="B332" s="41">
        <v>30</v>
      </c>
      <c r="C332" s="32">
        <v>141.29300000000001</v>
      </c>
      <c r="D332" s="32">
        <v>267.99299999999999</v>
      </c>
      <c r="E332" s="38">
        <v>829.71400000000006</v>
      </c>
      <c r="F332" s="32">
        <v>1239</v>
      </c>
      <c r="G332" s="32">
        <v>100</v>
      </c>
      <c r="H332" s="40">
        <v>600</v>
      </c>
      <c r="I332" s="32">
        <v>695</v>
      </c>
      <c r="J332" s="32">
        <v>50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ht="15.75">
      <c r="A333" s="13">
        <v>52017</v>
      </c>
      <c r="B333" s="41">
        <v>31</v>
      </c>
      <c r="C333" s="32">
        <v>194.20500000000001</v>
      </c>
      <c r="D333" s="32">
        <v>267.46600000000001</v>
      </c>
      <c r="E333" s="38">
        <v>812.32899999999995</v>
      </c>
      <c r="F333" s="32">
        <v>1274</v>
      </c>
      <c r="G333" s="32">
        <v>75</v>
      </c>
      <c r="H333" s="40">
        <v>600</v>
      </c>
      <c r="I333" s="32">
        <v>695</v>
      </c>
      <c r="J333" s="32">
        <v>50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ht="15.75">
      <c r="A334" s="13">
        <v>52047</v>
      </c>
      <c r="B334" s="41">
        <v>30</v>
      </c>
      <c r="C334" s="32">
        <v>194.20500000000001</v>
      </c>
      <c r="D334" s="32">
        <v>267.46600000000001</v>
      </c>
      <c r="E334" s="38">
        <v>812.32899999999995</v>
      </c>
      <c r="F334" s="32">
        <v>1274</v>
      </c>
      <c r="G334" s="32">
        <v>50</v>
      </c>
      <c r="H334" s="40">
        <v>600</v>
      </c>
      <c r="I334" s="32">
        <v>695</v>
      </c>
      <c r="J334" s="32">
        <v>50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ht="15.75">
      <c r="A335" s="13">
        <v>52078</v>
      </c>
      <c r="B335" s="41">
        <v>31</v>
      </c>
      <c r="C335" s="32">
        <v>194.20500000000001</v>
      </c>
      <c r="D335" s="32">
        <v>267.46600000000001</v>
      </c>
      <c r="E335" s="38">
        <v>812.32899999999995</v>
      </c>
      <c r="F335" s="32">
        <v>1274</v>
      </c>
      <c r="G335" s="32">
        <v>50</v>
      </c>
      <c r="H335" s="40">
        <v>600</v>
      </c>
      <c r="I335" s="32">
        <v>695</v>
      </c>
      <c r="J335" s="32">
        <v>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ht="15.75">
      <c r="A336" s="13">
        <v>52109</v>
      </c>
      <c r="B336" s="41">
        <v>31</v>
      </c>
      <c r="C336" s="32">
        <v>194.20500000000001</v>
      </c>
      <c r="D336" s="32">
        <v>267.46600000000001</v>
      </c>
      <c r="E336" s="38">
        <v>812.32899999999995</v>
      </c>
      <c r="F336" s="32">
        <v>1274</v>
      </c>
      <c r="G336" s="32">
        <v>50</v>
      </c>
      <c r="H336" s="40">
        <v>600</v>
      </c>
      <c r="I336" s="32">
        <v>695</v>
      </c>
      <c r="J336" s="32">
        <v>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ht="15.75">
      <c r="A337" s="13">
        <v>52139</v>
      </c>
      <c r="B337" s="41">
        <v>30</v>
      </c>
      <c r="C337" s="32">
        <v>194.20500000000001</v>
      </c>
      <c r="D337" s="32">
        <v>267.46600000000001</v>
      </c>
      <c r="E337" s="38">
        <v>812.32899999999995</v>
      </c>
      <c r="F337" s="32">
        <v>1274</v>
      </c>
      <c r="G337" s="32">
        <v>50</v>
      </c>
      <c r="H337" s="40">
        <v>600</v>
      </c>
      <c r="I337" s="32">
        <v>695</v>
      </c>
      <c r="J337" s="32">
        <v>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ht="15.75">
      <c r="A338" s="13">
        <v>52170</v>
      </c>
      <c r="B338" s="41">
        <v>31</v>
      </c>
      <c r="C338" s="32">
        <v>131.881</v>
      </c>
      <c r="D338" s="32">
        <v>277.16699999999997</v>
      </c>
      <c r="E338" s="38">
        <v>829.952</v>
      </c>
      <c r="F338" s="32">
        <v>1239</v>
      </c>
      <c r="G338" s="32">
        <v>75</v>
      </c>
      <c r="H338" s="40">
        <v>600</v>
      </c>
      <c r="I338" s="32">
        <v>695</v>
      </c>
      <c r="J338" s="32">
        <v>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ht="15.75">
      <c r="A339" s="13">
        <v>52200</v>
      </c>
      <c r="B339" s="41">
        <v>30</v>
      </c>
      <c r="C339" s="32">
        <v>122.58</v>
      </c>
      <c r="D339" s="32">
        <v>297.94099999999997</v>
      </c>
      <c r="E339" s="38">
        <v>729.47900000000004</v>
      </c>
      <c r="F339" s="32">
        <v>1150</v>
      </c>
      <c r="G339" s="32">
        <v>100</v>
      </c>
      <c r="H339" s="40">
        <v>600</v>
      </c>
      <c r="I339" s="32">
        <v>695</v>
      </c>
      <c r="J339" s="32">
        <v>50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ht="15.75">
      <c r="A340" s="13">
        <v>52231</v>
      </c>
      <c r="B340" s="41">
        <v>31</v>
      </c>
      <c r="C340" s="32">
        <v>122.58</v>
      </c>
      <c r="D340" s="32">
        <v>297.94099999999997</v>
      </c>
      <c r="E340" s="38">
        <v>729.47900000000004</v>
      </c>
      <c r="F340" s="32">
        <v>1150</v>
      </c>
      <c r="G340" s="32">
        <v>100</v>
      </c>
      <c r="H340" s="40">
        <v>600</v>
      </c>
      <c r="I340" s="32">
        <v>695</v>
      </c>
      <c r="J340" s="32">
        <v>50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ht="15.75">
      <c r="A341" s="13">
        <v>52262</v>
      </c>
      <c r="B341" s="41">
        <v>31</v>
      </c>
      <c r="C341" s="32">
        <v>122.58</v>
      </c>
      <c r="D341" s="32">
        <v>297.94099999999997</v>
      </c>
      <c r="E341" s="38">
        <v>729.47900000000004</v>
      </c>
      <c r="F341" s="32">
        <v>1150</v>
      </c>
      <c r="G341" s="32">
        <v>100</v>
      </c>
      <c r="H341" s="40">
        <v>600</v>
      </c>
      <c r="I341" s="32">
        <v>695</v>
      </c>
      <c r="J341" s="32">
        <v>50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ht="15.75">
      <c r="A342" s="13">
        <v>52290</v>
      </c>
      <c r="B342" s="41">
        <v>28</v>
      </c>
      <c r="C342" s="32">
        <v>122.58</v>
      </c>
      <c r="D342" s="32">
        <v>297.94099999999997</v>
      </c>
      <c r="E342" s="38">
        <v>729.47900000000004</v>
      </c>
      <c r="F342" s="32">
        <v>1150</v>
      </c>
      <c r="G342" s="32">
        <v>100</v>
      </c>
      <c r="H342" s="40">
        <v>600</v>
      </c>
      <c r="I342" s="32">
        <v>695</v>
      </c>
      <c r="J342" s="32">
        <v>50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ht="15.75">
      <c r="A343" s="13">
        <v>52321</v>
      </c>
      <c r="B343" s="41">
        <v>31</v>
      </c>
      <c r="C343" s="32">
        <v>122.58</v>
      </c>
      <c r="D343" s="32">
        <v>297.94099999999997</v>
      </c>
      <c r="E343" s="38">
        <v>729.47900000000004</v>
      </c>
      <c r="F343" s="32">
        <v>1150</v>
      </c>
      <c r="G343" s="32">
        <v>100</v>
      </c>
      <c r="H343" s="40">
        <v>600</v>
      </c>
      <c r="I343" s="32">
        <v>695</v>
      </c>
      <c r="J343" s="32">
        <v>50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ht="15.75">
      <c r="A344" s="13">
        <v>52351</v>
      </c>
      <c r="B344" s="41">
        <v>30</v>
      </c>
      <c r="C344" s="32">
        <v>141.29300000000001</v>
      </c>
      <c r="D344" s="32">
        <v>267.99299999999999</v>
      </c>
      <c r="E344" s="38">
        <v>829.71400000000006</v>
      </c>
      <c r="F344" s="32">
        <v>1239</v>
      </c>
      <c r="G344" s="32">
        <v>100</v>
      </c>
      <c r="H344" s="40">
        <v>600</v>
      </c>
      <c r="I344" s="32">
        <v>695</v>
      </c>
      <c r="J344" s="32">
        <v>50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ht="15.75">
      <c r="A345" s="13">
        <v>52382</v>
      </c>
      <c r="B345" s="41">
        <v>31</v>
      </c>
      <c r="C345" s="32">
        <v>194.20500000000001</v>
      </c>
      <c r="D345" s="32">
        <v>267.46600000000001</v>
      </c>
      <c r="E345" s="38">
        <v>812.32899999999995</v>
      </c>
      <c r="F345" s="32">
        <v>1274</v>
      </c>
      <c r="G345" s="32">
        <v>75</v>
      </c>
      <c r="H345" s="40">
        <v>600</v>
      </c>
      <c r="I345" s="32">
        <v>695</v>
      </c>
      <c r="J345" s="32">
        <v>50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ht="15.75">
      <c r="A346" s="13">
        <v>52412</v>
      </c>
      <c r="B346" s="41">
        <v>30</v>
      </c>
      <c r="C346" s="32">
        <v>194.20500000000001</v>
      </c>
      <c r="D346" s="32">
        <v>267.46600000000001</v>
      </c>
      <c r="E346" s="38">
        <v>812.32899999999995</v>
      </c>
      <c r="F346" s="32">
        <v>1274</v>
      </c>
      <c r="G346" s="32">
        <v>50</v>
      </c>
      <c r="H346" s="40">
        <v>600</v>
      </c>
      <c r="I346" s="32">
        <v>695</v>
      </c>
      <c r="J346" s="32">
        <v>50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ht="15.75">
      <c r="A347" s="13">
        <v>52443</v>
      </c>
      <c r="B347" s="41">
        <v>31</v>
      </c>
      <c r="C347" s="32">
        <v>194.20500000000001</v>
      </c>
      <c r="D347" s="32">
        <v>267.46600000000001</v>
      </c>
      <c r="E347" s="38">
        <v>812.32899999999995</v>
      </c>
      <c r="F347" s="32">
        <v>1274</v>
      </c>
      <c r="G347" s="32">
        <v>50</v>
      </c>
      <c r="H347" s="40">
        <v>600</v>
      </c>
      <c r="I347" s="32">
        <v>695</v>
      </c>
      <c r="J347" s="32">
        <v>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ht="15.75">
      <c r="A348" s="13">
        <v>52474</v>
      </c>
      <c r="B348" s="41">
        <v>31</v>
      </c>
      <c r="C348" s="32">
        <v>194.20500000000001</v>
      </c>
      <c r="D348" s="32">
        <v>267.46600000000001</v>
      </c>
      <c r="E348" s="38">
        <v>812.32899999999995</v>
      </c>
      <c r="F348" s="32">
        <v>1274</v>
      </c>
      <c r="G348" s="32">
        <v>50</v>
      </c>
      <c r="H348" s="40">
        <v>600</v>
      </c>
      <c r="I348" s="32">
        <v>695</v>
      </c>
      <c r="J348" s="32">
        <v>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ht="15.75">
      <c r="A349" s="13">
        <v>52504</v>
      </c>
      <c r="B349" s="41">
        <v>30</v>
      </c>
      <c r="C349" s="32">
        <v>194.20500000000001</v>
      </c>
      <c r="D349" s="32">
        <v>267.46600000000001</v>
      </c>
      <c r="E349" s="38">
        <v>812.32899999999995</v>
      </c>
      <c r="F349" s="32">
        <v>1274</v>
      </c>
      <c r="G349" s="32">
        <v>50</v>
      </c>
      <c r="H349" s="40">
        <v>600</v>
      </c>
      <c r="I349" s="32">
        <v>695</v>
      </c>
      <c r="J349" s="32">
        <v>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ht="15.75">
      <c r="A350" s="13">
        <v>52535</v>
      </c>
      <c r="B350" s="41">
        <v>31</v>
      </c>
      <c r="C350" s="32">
        <v>131.881</v>
      </c>
      <c r="D350" s="32">
        <v>277.16699999999997</v>
      </c>
      <c r="E350" s="38">
        <v>829.952</v>
      </c>
      <c r="F350" s="32">
        <v>1239</v>
      </c>
      <c r="G350" s="32">
        <v>75</v>
      </c>
      <c r="H350" s="40">
        <v>600</v>
      </c>
      <c r="I350" s="32">
        <v>695</v>
      </c>
      <c r="J350" s="32">
        <v>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ht="15.75">
      <c r="A351" s="13">
        <v>52565</v>
      </c>
      <c r="B351" s="41">
        <v>30</v>
      </c>
      <c r="C351" s="32">
        <v>122.58</v>
      </c>
      <c r="D351" s="32">
        <v>297.94099999999997</v>
      </c>
      <c r="E351" s="38">
        <v>729.47900000000004</v>
      </c>
      <c r="F351" s="32">
        <v>1150</v>
      </c>
      <c r="G351" s="32">
        <v>100</v>
      </c>
      <c r="H351" s="40">
        <v>600</v>
      </c>
      <c r="I351" s="32">
        <v>695</v>
      </c>
      <c r="J351" s="32">
        <v>50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ht="15.75">
      <c r="A352" s="13">
        <v>52596</v>
      </c>
      <c r="B352" s="41">
        <v>31</v>
      </c>
      <c r="C352" s="32">
        <v>122.58</v>
      </c>
      <c r="D352" s="32">
        <v>297.94099999999997</v>
      </c>
      <c r="E352" s="38">
        <v>729.47900000000004</v>
      </c>
      <c r="F352" s="32">
        <v>1150</v>
      </c>
      <c r="G352" s="32">
        <v>100</v>
      </c>
      <c r="H352" s="40">
        <v>600</v>
      </c>
      <c r="I352" s="32">
        <v>695</v>
      </c>
      <c r="J352" s="32">
        <v>50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ht="15.75">
      <c r="A353" s="13">
        <v>52627</v>
      </c>
      <c r="B353" s="41">
        <v>31</v>
      </c>
      <c r="C353" s="32">
        <v>122.58</v>
      </c>
      <c r="D353" s="32">
        <v>297.94099999999997</v>
      </c>
      <c r="E353" s="38">
        <v>729.47900000000004</v>
      </c>
      <c r="F353" s="32">
        <v>1150</v>
      </c>
      <c r="G353" s="32">
        <v>100</v>
      </c>
      <c r="H353" s="40">
        <v>600</v>
      </c>
      <c r="I353" s="32">
        <v>695</v>
      </c>
      <c r="J353" s="32">
        <v>50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ht="15.75">
      <c r="A354" s="13">
        <v>52655</v>
      </c>
      <c r="B354" s="41">
        <v>29</v>
      </c>
      <c r="C354" s="32">
        <v>122.58</v>
      </c>
      <c r="D354" s="32">
        <v>297.94099999999997</v>
      </c>
      <c r="E354" s="38">
        <v>729.47900000000004</v>
      </c>
      <c r="F354" s="32">
        <v>1150</v>
      </c>
      <c r="G354" s="32">
        <v>100</v>
      </c>
      <c r="H354" s="40">
        <v>600</v>
      </c>
      <c r="I354" s="32">
        <v>695</v>
      </c>
      <c r="J354" s="32">
        <v>50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ht="15.75">
      <c r="A355" s="13">
        <v>52687</v>
      </c>
      <c r="B355" s="41">
        <v>31</v>
      </c>
      <c r="C355" s="32">
        <v>122.58</v>
      </c>
      <c r="D355" s="32">
        <v>297.94099999999997</v>
      </c>
      <c r="E355" s="38">
        <v>729.47900000000004</v>
      </c>
      <c r="F355" s="32">
        <v>1150</v>
      </c>
      <c r="G355" s="32">
        <v>100</v>
      </c>
      <c r="H355" s="40">
        <v>600</v>
      </c>
      <c r="I355" s="32">
        <v>695</v>
      </c>
      <c r="J355" s="32">
        <v>50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ht="15.75">
      <c r="A356" s="13">
        <v>52717</v>
      </c>
      <c r="B356" s="41">
        <v>30</v>
      </c>
      <c r="C356" s="32">
        <v>141.29300000000001</v>
      </c>
      <c r="D356" s="32">
        <v>267.99299999999999</v>
      </c>
      <c r="E356" s="38">
        <v>829.71400000000006</v>
      </c>
      <c r="F356" s="32">
        <v>1239</v>
      </c>
      <c r="G356" s="32">
        <v>100</v>
      </c>
      <c r="H356" s="40">
        <v>600</v>
      </c>
      <c r="I356" s="32">
        <v>695</v>
      </c>
      <c r="J356" s="32">
        <v>50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ht="15.75">
      <c r="A357" s="13">
        <v>52748</v>
      </c>
      <c r="B357" s="41">
        <v>31</v>
      </c>
      <c r="C357" s="32">
        <v>194.20500000000001</v>
      </c>
      <c r="D357" s="32">
        <v>267.46600000000001</v>
      </c>
      <c r="E357" s="38">
        <v>812.32899999999995</v>
      </c>
      <c r="F357" s="32">
        <v>1274</v>
      </c>
      <c r="G357" s="32">
        <v>75</v>
      </c>
      <c r="H357" s="40">
        <v>600</v>
      </c>
      <c r="I357" s="32">
        <v>695</v>
      </c>
      <c r="J357" s="32">
        <v>50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ht="15.75">
      <c r="A358" s="13">
        <v>52778</v>
      </c>
      <c r="B358" s="41">
        <v>30</v>
      </c>
      <c r="C358" s="32">
        <v>194.20500000000001</v>
      </c>
      <c r="D358" s="32">
        <v>267.46600000000001</v>
      </c>
      <c r="E358" s="38">
        <v>812.32899999999995</v>
      </c>
      <c r="F358" s="32">
        <v>1274</v>
      </c>
      <c r="G358" s="32">
        <v>50</v>
      </c>
      <c r="H358" s="40">
        <v>600</v>
      </c>
      <c r="I358" s="32">
        <v>695</v>
      </c>
      <c r="J358" s="32">
        <v>50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ht="15.75">
      <c r="A359" s="13">
        <v>52809</v>
      </c>
      <c r="B359" s="41">
        <v>31</v>
      </c>
      <c r="C359" s="32">
        <v>194.20500000000001</v>
      </c>
      <c r="D359" s="32">
        <v>267.46600000000001</v>
      </c>
      <c r="E359" s="38">
        <v>812.32899999999995</v>
      </c>
      <c r="F359" s="32">
        <v>1274</v>
      </c>
      <c r="G359" s="32">
        <v>50</v>
      </c>
      <c r="H359" s="40">
        <v>600</v>
      </c>
      <c r="I359" s="32">
        <v>695</v>
      </c>
      <c r="J359" s="32">
        <v>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ht="15.75">
      <c r="A360" s="13">
        <v>52840</v>
      </c>
      <c r="B360" s="41">
        <v>31</v>
      </c>
      <c r="C360" s="32">
        <v>194.20500000000001</v>
      </c>
      <c r="D360" s="32">
        <v>267.46600000000001</v>
      </c>
      <c r="E360" s="38">
        <v>812.32899999999995</v>
      </c>
      <c r="F360" s="32">
        <v>1274</v>
      </c>
      <c r="G360" s="32">
        <v>50</v>
      </c>
      <c r="H360" s="40">
        <v>600</v>
      </c>
      <c r="I360" s="32">
        <v>695</v>
      </c>
      <c r="J360" s="32">
        <v>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ht="15.75">
      <c r="A361" s="13">
        <v>52870</v>
      </c>
      <c r="B361" s="41">
        <v>30</v>
      </c>
      <c r="C361" s="32">
        <v>194.20500000000001</v>
      </c>
      <c r="D361" s="32">
        <v>267.46600000000001</v>
      </c>
      <c r="E361" s="38">
        <v>812.32899999999995</v>
      </c>
      <c r="F361" s="32">
        <v>1274</v>
      </c>
      <c r="G361" s="32">
        <v>50</v>
      </c>
      <c r="H361" s="40">
        <v>600</v>
      </c>
      <c r="I361" s="32">
        <v>695</v>
      </c>
      <c r="J361" s="32">
        <v>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ht="15.75">
      <c r="A362" s="13">
        <v>52901</v>
      </c>
      <c r="B362" s="41">
        <v>31</v>
      </c>
      <c r="C362" s="32">
        <v>131.881</v>
      </c>
      <c r="D362" s="32">
        <v>277.16699999999997</v>
      </c>
      <c r="E362" s="38">
        <v>829.952</v>
      </c>
      <c r="F362" s="32">
        <v>1239</v>
      </c>
      <c r="G362" s="32">
        <v>75</v>
      </c>
      <c r="H362" s="40">
        <v>600</v>
      </c>
      <c r="I362" s="32">
        <v>695</v>
      </c>
      <c r="J362" s="32">
        <v>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ht="15.75">
      <c r="A363" s="13">
        <v>52931</v>
      </c>
      <c r="B363" s="41">
        <v>30</v>
      </c>
      <c r="C363" s="32">
        <v>122.58</v>
      </c>
      <c r="D363" s="32">
        <v>297.94099999999997</v>
      </c>
      <c r="E363" s="38">
        <v>729.47900000000004</v>
      </c>
      <c r="F363" s="32">
        <v>1150</v>
      </c>
      <c r="G363" s="32">
        <v>100</v>
      </c>
      <c r="H363" s="40">
        <v>600</v>
      </c>
      <c r="I363" s="32">
        <v>695</v>
      </c>
      <c r="J363" s="32">
        <v>50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ht="15.75">
      <c r="A364" s="13">
        <v>52962</v>
      </c>
      <c r="B364" s="41">
        <v>31</v>
      </c>
      <c r="C364" s="32">
        <v>122.58</v>
      </c>
      <c r="D364" s="32">
        <v>297.94099999999997</v>
      </c>
      <c r="E364" s="38">
        <v>729.47900000000004</v>
      </c>
      <c r="F364" s="32">
        <v>1150</v>
      </c>
      <c r="G364" s="32">
        <v>100</v>
      </c>
      <c r="H364" s="40">
        <v>600</v>
      </c>
      <c r="I364" s="32">
        <v>695</v>
      </c>
      <c r="J364" s="32">
        <v>50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ht="15.75">
      <c r="A365" s="13">
        <v>52993</v>
      </c>
      <c r="B365" s="41">
        <v>31</v>
      </c>
      <c r="C365" s="32">
        <v>122.58</v>
      </c>
      <c r="D365" s="32">
        <v>297.94099999999997</v>
      </c>
      <c r="E365" s="38">
        <v>729.47900000000004</v>
      </c>
      <c r="F365" s="32">
        <v>1150</v>
      </c>
      <c r="G365" s="32">
        <v>100</v>
      </c>
      <c r="H365" s="40">
        <v>600</v>
      </c>
      <c r="I365" s="32">
        <v>695</v>
      </c>
      <c r="J365" s="32">
        <v>50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ht="15.75">
      <c r="A366" s="13">
        <v>53021</v>
      </c>
      <c r="B366" s="41">
        <v>28</v>
      </c>
      <c r="C366" s="32">
        <v>122.58</v>
      </c>
      <c r="D366" s="32">
        <v>297.94099999999997</v>
      </c>
      <c r="E366" s="38">
        <v>729.47900000000004</v>
      </c>
      <c r="F366" s="32">
        <v>1150</v>
      </c>
      <c r="G366" s="32">
        <v>100</v>
      </c>
      <c r="H366" s="40">
        <v>600</v>
      </c>
      <c r="I366" s="32">
        <v>695</v>
      </c>
      <c r="J366" s="32">
        <v>50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ht="15.75">
      <c r="A367" s="13">
        <v>53052</v>
      </c>
      <c r="B367" s="41">
        <v>31</v>
      </c>
      <c r="C367" s="32">
        <v>122.58</v>
      </c>
      <c r="D367" s="32">
        <v>297.94099999999997</v>
      </c>
      <c r="E367" s="38">
        <v>729.47900000000004</v>
      </c>
      <c r="F367" s="32">
        <v>1150</v>
      </c>
      <c r="G367" s="32">
        <v>100</v>
      </c>
      <c r="H367" s="40">
        <v>600</v>
      </c>
      <c r="I367" s="32">
        <v>695</v>
      </c>
      <c r="J367" s="32">
        <v>50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ht="15.75">
      <c r="A368" s="13">
        <v>53082</v>
      </c>
      <c r="B368" s="41">
        <v>30</v>
      </c>
      <c r="C368" s="32">
        <v>141.29300000000001</v>
      </c>
      <c r="D368" s="32">
        <v>267.99299999999999</v>
      </c>
      <c r="E368" s="38">
        <v>829.71400000000006</v>
      </c>
      <c r="F368" s="32">
        <v>1239</v>
      </c>
      <c r="G368" s="32">
        <v>100</v>
      </c>
      <c r="H368" s="40">
        <v>600</v>
      </c>
      <c r="I368" s="32">
        <v>695</v>
      </c>
      <c r="J368" s="32">
        <v>50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ht="15.75">
      <c r="A369" s="13">
        <v>53113</v>
      </c>
      <c r="B369" s="41">
        <v>31</v>
      </c>
      <c r="C369" s="32">
        <v>194.20500000000001</v>
      </c>
      <c r="D369" s="32">
        <v>267.46600000000001</v>
      </c>
      <c r="E369" s="38">
        <v>812.32899999999995</v>
      </c>
      <c r="F369" s="32">
        <v>1274</v>
      </c>
      <c r="G369" s="32">
        <v>75</v>
      </c>
      <c r="H369" s="40">
        <v>600</v>
      </c>
      <c r="I369" s="32">
        <v>695</v>
      </c>
      <c r="J369" s="32">
        <v>50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ht="15.75">
      <c r="A370" s="13">
        <v>53143</v>
      </c>
      <c r="B370" s="41">
        <v>30</v>
      </c>
      <c r="C370" s="32">
        <v>194.20500000000001</v>
      </c>
      <c r="D370" s="32">
        <v>267.46600000000001</v>
      </c>
      <c r="E370" s="38">
        <v>812.32899999999995</v>
      </c>
      <c r="F370" s="32">
        <v>1274</v>
      </c>
      <c r="G370" s="32">
        <v>50</v>
      </c>
      <c r="H370" s="40">
        <v>600</v>
      </c>
      <c r="I370" s="32">
        <v>695</v>
      </c>
      <c r="J370" s="32">
        <v>50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ht="15.75">
      <c r="A371" s="13">
        <v>53174</v>
      </c>
      <c r="B371" s="41">
        <v>31</v>
      </c>
      <c r="C371" s="32">
        <v>194.20500000000001</v>
      </c>
      <c r="D371" s="32">
        <v>267.46600000000001</v>
      </c>
      <c r="E371" s="38">
        <v>812.32899999999995</v>
      </c>
      <c r="F371" s="32">
        <v>1274</v>
      </c>
      <c r="G371" s="32">
        <v>50</v>
      </c>
      <c r="H371" s="40">
        <v>600</v>
      </c>
      <c r="I371" s="32">
        <v>695</v>
      </c>
      <c r="J371" s="32">
        <v>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ht="15.75">
      <c r="A372" s="13">
        <v>53205</v>
      </c>
      <c r="B372" s="41">
        <v>31</v>
      </c>
      <c r="C372" s="32">
        <v>194.20500000000001</v>
      </c>
      <c r="D372" s="32">
        <v>267.46600000000001</v>
      </c>
      <c r="E372" s="38">
        <v>812.32899999999995</v>
      </c>
      <c r="F372" s="32">
        <v>1274</v>
      </c>
      <c r="G372" s="32">
        <v>50</v>
      </c>
      <c r="H372" s="40">
        <v>600</v>
      </c>
      <c r="I372" s="32">
        <v>695</v>
      </c>
      <c r="J372" s="32">
        <v>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ht="15.75">
      <c r="A373" s="13">
        <v>53235</v>
      </c>
      <c r="B373" s="41">
        <v>30</v>
      </c>
      <c r="C373" s="32">
        <v>194.20500000000001</v>
      </c>
      <c r="D373" s="32">
        <v>267.46600000000001</v>
      </c>
      <c r="E373" s="38">
        <v>812.32899999999995</v>
      </c>
      <c r="F373" s="32">
        <v>1274</v>
      </c>
      <c r="G373" s="32">
        <v>50</v>
      </c>
      <c r="H373" s="40">
        <v>600</v>
      </c>
      <c r="I373" s="32">
        <v>695</v>
      </c>
      <c r="J373" s="32">
        <v>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ht="15.75">
      <c r="A374" s="13">
        <v>53266</v>
      </c>
      <c r="B374" s="41">
        <v>31</v>
      </c>
      <c r="C374" s="32">
        <v>131.881</v>
      </c>
      <c r="D374" s="32">
        <v>277.16699999999997</v>
      </c>
      <c r="E374" s="38">
        <v>829.952</v>
      </c>
      <c r="F374" s="32">
        <v>1239</v>
      </c>
      <c r="G374" s="32">
        <v>75</v>
      </c>
      <c r="H374" s="40">
        <v>600</v>
      </c>
      <c r="I374" s="32">
        <v>695</v>
      </c>
      <c r="J374" s="32">
        <v>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ht="15.75">
      <c r="A375" s="13">
        <v>53296</v>
      </c>
      <c r="B375" s="41">
        <v>30</v>
      </c>
      <c r="C375" s="32">
        <v>122.58</v>
      </c>
      <c r="D375" s="32">
        <v>297.94099999999997</v>
      </c>
      <c r="E375" s="38">
        <v>729.47900000000004</v>
      </c>
      <c r="F375" s="32">
        <v>1150</v>
      </c>
      <c r="G375" s="32">
        <v>100</v>
      </c>
      <c r="H375" s="40">
        <v>600</v>
      </c>
      <c r="I375" s="32">
        <v>695</v>
      </c>
      <c r="J375" s="32">
        <v>50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ht="15.75">
      <c r="A376" s="13">
        <v>53327</v>
      </c>
      <c r="B376" s="41">
        <v>31</v>
      </c>
      <c r="C376" s="32">
        <v>122.58</v>
      </c>
      <c r="D376" s="32">
        <v>297.94099999999997</v>
      </c>
      <c r="E376" s="38">
        <v>729.47900000000004</v>
      </c>
      <c r="F376" s="32">
        <v>1150</v>
      </c>
      <c r="G376" s="32">
        <v>100</v>
      </c>
      <c r="H376" s="40">
        <v>600</v>
      </c>
      <c r="I376" s="32">
        <v>695</v>
      </c>
      <c r="J376" s="32">
        <v>50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ht="15.75">
      <c r="A377" s="13">
        <v>53358</v>
      </c>
      <c r="B377" s="41">
        <v>31</v>
      </c>
      <c r="C377" s="32">
        <v>122.58</v>
      </c>
      <c r="D377" s="32">
        <v>297.94099999999997</v>
      </c>
      <c r="E377" s="38">
        <v>729.47900000000004</v>
      </c>
      <c r="F377" s="32">
        <v>1150</v>
      </c>
      <c r="G377" s="32">
        <v>100</v>
      </c>
      <c r="H377" s="40">
        <v>600</v>
      </c>
      <c r="I377" s="32">
        <v>695</v>
      </c>
      <c r="J377" s="32">
        <v>50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ht="15.75">
      <c r="A378" s="13">
        <v>53386</v>
      </c>
      <c r="B378" s="41">
        <v>28</v>
      </c>
      <c r="C378" s="32">
        <v>122.58</v>
      </c>
      <c r="D378" s="32">
        <v>297.94099999999997</v>
      </c>
      <c r="E378" s="38">
        <v>729.47900000000004</v>
      </c>
      <c r="F378" s="32">
        <v>1150</v>
      </c>
      <c r="G378" s="32">
        <v>100</v>
      </c>
      <c r="H378" s="40">
        <v>600</v>
      </c>
      <c r="I378" s="32">
        <v>695</v>
      </c>
      <c r="J378" s="32">
        <v>50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ht="15.75">
      <c r="A379" s="13">
        <v>53417</v>
      </c>
      <c r="B379" s="41">
        <v>31</v>
      </c>
      <c r="C379" s="32">
        <v>122.58</v>
      </c>
      <c r="D379" s="32">
        <v>297.94099999999997</v>
      </c>
      <c r="E379" s="38">
        <v>729.47900000000004</v>
      </c>
      <c r="F379" s="32">
        <v>1150</v>
      </c>
      <c r="G379" s="32">
        <v>100</v>
      </c>
      <c r="H379" s="40">
        <v>600</v>
      </c>
      <c r="I379" s="32">
        <v>695</v>
      </c>
      <c r="J379" s="32">
        <v>50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ht="15.75">
      <c r="A380" s="13">
        <v>53447</v>
      </c>
      <c r="B380" s="41">
        <v>30</v>
      </c>
      <c r="C380" s="32">
        <v>141.29300000000001</v>
      </c>
      <c r="D380" s="32">
        <v>267.99299999999999</v>
      </c>
      <c r="E380" s="38">
        <v>829.71400000000006</v>
      </c>
      <c r="F380" s="32">
        <v>1239</v>
      </c>
      <c r="G380" s="32">
        <v>100</v>
      </c>
      <c r="H380" s="40">
        <v>600</v>
      </c>
      <c r="I380" s="32">
        <v>695</v>
      </c>
      <c r="J380" s="32">
        <v>50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ht="15.75">
      <c r="A381" s="13">
        <v>53478</v>
      </c>
      <c r="B381" s="41">
        <v>31</v>
      </c>
      <c r="C381" s="32">
        <v>194.20500000000001</v>
      </c>
      <c r="D381" s="32">
        <v>267.46600000000001</v>
      </c>
      <c r="E381" s="38">
        <v>812.32899999999995</v>
      </c>
      <c r="F381" s="32">
        <v>1274</v>
      </c>
      <c r="G381" s="32">
        <v>75</v>
      </c>
      <c r="H381" s="40">
        <v>600</v>
      </c>
      <c r="I381" s="32">
        <v>695</v>
      </c>
      <c r="J381" s="32">
        <v>50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ht="15.75">
      <c r="A382" s="13">
        <v>53508</v>
      </c>
      <c r="B382" s="41">
        <v>30</v>
      </c>
      <c r="C382" s="32">
        <v>194.20500000000001</v>
      </c>
      <c r="D382" s="32">
        <v>267.46600000000001</v>
      </c>
      <c r="E382" s="38">
        <v>812.32899999999995</v>
      </c>
      <c r="F382" s="32">
        <v>1274</v>
      </c>
      <c r="G382" s="32">
        <v>50</v>
      </c>
      <c r="H382" s="40">
        <v>600</v>
      </c>
      <c r="I382" s="32">
        <v>695</v>
      </c>
      <c r="J382" s="32">
        <v>50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ht="15.75">
      <c r="A383" s="13">
        <v>53539</v>
      </c>
      <c r="B383" s="41">
        <v>31</v>
      </c>
      <c r="C383" s="32">
        <v>194.20500000000001</v>
      </c>
      <c r="D383" s="32">
        <v>267.46600000000001</v>
      </c>
      <c r="E383" s="38">
        <v>812.32899999999995</v>
      </c>
      <c r="F383" s="32">
        <v>1274</v>
      </c>
      <c r="G383" s="32">
        <v>50</v>
      </c>
      <c r="H383" s="40">
        <v>600</v>
      </c>
      <c r="I383" s="32">
        <v>695</v>
      </c>
      <c r="J383" s="32">
        <v>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ht="15.75">
      <c r="A384" s="13">
        <v>53570</v>
      </c>
      <c r="B384" s="41">
        <v>31</v>
      </c>
      <c r="C384" s="32">
        <v>194.20500000000001</v>
      </c>
      <c r="D384" s="32">
        <v>267.46600000000001</v>
      </c>
      <c r="E384" s="38">
        <v>812.32899999999995</v>
      </c>
      <c r="F384" s="32">
        <v>1274</v>
      </c>
      <c r="G384" s="32">
        <v>50</v>
      </c>
      <c r="H384" s="40">
        <v>600</v>
      </c>
      <c r="I384" s="32">
        <v>695</v>
      </c>
      <c r="J384" s="32">
        <v>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ht="15.75">
      <c r="A385" s="13">
        <v>53600</v>
      </c>
      <c r="B385" s="41">
        <v>30</v>
      </c>
      <c r="C385" s="32">
        <v>194.20500000000001</v>
      </c>
      <c r="D385" s="32">
        <v>267.46600000000001</v>
      </c>
      <c r="E385" s="38">
        <v>812.32899999999995</v>
      </c>
      <c r="F385" s="32">
        <v>1274</v>
      </c>
      <c r="G385" s="32">
        <v>50</v>
      </c>
      <c r="H385" s="40">
        <v>600</v>
      </c>
      <c r="I385" s="32">
        <v>695</v>
      </c>
      <c r="J385" s="32">
        <v>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ht="15.75">
      <c r="A386" s="13">
        <v>53631</v>
      </c>
      <c r="B386" s="41">
        <v>31</v>
      </c>
      <c r="C386" s="32">
        <v>131.881</v>
      </c>
      <c r="D386" s="32">
        <v>277.16699999999997</v>
      </c>
      <c r="E386" s="38">
        <v>829.952</v>
      </c>
      <c r="F386" s="32">
        <v>1239</v>
      </c>
      <c r="G386" s="32">
        <v>75</v>
      </c>
      <c r="H386" s="40">
        <v>600</v>
      </c>
      <c r="I386" s="32">
        <v>695</v>
      </c>
      <c r="J386" s="32">
        <v>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ht="15.75">
      <c r="A387" s="13">
        <v>53661</v>
      </c>
      <c r="B387" s="41">
        <v>30</v>
      </c>
      <c r="C387" s="32">
        <v>122.58</v>
      </c>
      <c r="D387" s="32">
        <v>297.94099999999997</v>
      </c>
      <c r="E387" s="38">
        <v>729.47900000000004</v>
      </c>
      <c r="F387" s="32">
        <v>1150</v>
      </c>
      <c r="G387" s="32">
        <v>100</v>
      </c>
      <c r="H387" s="40">
        <v>600</v>
      </c>
      <c r="I387" s="32">
        <v>695</v>
      </c>
      <c r="J387" s="32">
        <v>50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ht="15.75">
      <c r="A388" s="13">
        <v>53692</v>
      </c>
      <c r="B388" s="41">
        <v>31</v>
      </c>
      <c r="C388" s="32">
        <v>122.58</v>
      </c>
      <c r="D388" s="32">
        <v>297.94099999999997</v>
      </c>
      <c r="E388" s="38">
        <v>729.47900000000004</v>
      </c>
      <c r="F388" s="32">
        <v>1150</v>
      </c>
      <c r="G388" s="32">
        <v>100</v>
      </c>
      <c r="H388" s="40">
        <v>600</v>
      </c>
      <c r="I388" s="32">
        <v>695</v>
      </c>
      <c r="J388" s="32">
        <v>50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ht="15.75">
      <c r="A389" s="13">
        <v>53723</v>
      </c>
      <c r="B389" s="41">
        <v>31</v>
      </c>
      <c r="C389" s="32">
        <v>122.58</v>
      </c>
      <c r="D389" s="32">
        <v>297.94099999999997</v>
      </c>
      <c r="E389" s="38">
        <v>729.47900000000004</v>
      </c>
      <c r="F389" s="32">
        <v>1150</v>
      </c>
      <c r="G389" s="32">
        <v>100</v>
      </c>
      <c r="H389" s="40">
        <v>600</v>
      </c>
      <c r="I389" s="32">
        <v>695</v>
      </c>
      <c r="J389" s="32">
        <v>50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ht="15.75">
      <c r="A390" s="13">
        <v>53751</v>
      </c>
      <c r="B390" s="41">
        <v>28</v>
      </c>
      <c r="C390" s="32">
        <v>122.58</v>
      </c>
      <c r="D390" s="32">
        <v>297.94099999999997</v>
      </c>
      <c r="E390" s="38">
        <v>729.47900000000004</v>
      </c>
      <c r="F390" s="32">
        <v>1150</v>
      </c>
      <c r="G390" s="32">
        <v>100</v>
      </c>
      <c r="H390" s="40">
        <v>600</v>
      </c>
      <c r="I390" s="32">
        <v>695</v>
      </c>
      <c r="J390" s="32">
        <v>50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ht="15.75">
      <c r="A391" s="13">
        <v>53782</v>
      </c>
      <c r="B391" s="41">
        <v>31</v>
      </c>
      <c r="C391" s="32">
        <v>122.58</v>
      </c>
      <c r="D391" s="32">
        <v>297.94099999999997</v>
      </c>
      <c r="E391" s="38">
        <v>729.47900000000004</v>
      </c>
      <c r="F391" s="32">
        <v>1150</v>
      </c>
      <c r="G391" s="32">
        <v>100</v>
      </c>
      <c r="H391" s="40">
        <v>600</v>
      </c>
      <c r="I391" s="32">
        <v>695</v>
      </c>
      <c r="J391" s="32">
        <v>50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ht="15.75">
      <c r="A392" s="13">
        <v>53812</v>
      </c>
      <c r="B392" s="41">
        <v>30</v>
      </c>
      <c r="C392" s="32">
        <v>141.29300000000001</v>
      </c>
      <c r="D392" s="32">
        <v>267.99299999999999</v>
      </c>
      <c r="E392" s="38">
        <v>829.71400000000006</v>
      </c>
      <c r="F392" s="32">
        <v>1239</v>
      </c>
      <c r="G392" s="32">
        <v>100</v>
      </c>
      <c r="H392" s="40">
        <v>600</v>
      </c>
      <c r="I392" s="32">
        <v>695</v>
      </c>
      <c r="J392" s="32">
        <v>50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ht="15.75">
      <c r="A393" s="13">
        <v>53843</v>
      </c>
      <c r="B393" s="41">
        <v>31</v>
      </c>
      <c r="C393" s="32">
        <v>194.20500000000001</v>
      </c>
      <c r="D393" s="32">
        <v>267.46600000000001</v>
      </c>
      <c r="E393" s="38">
        <v>812.32899999999995</v>
      </c>
      <c r="F393" s="32">
        <v>1274</v>
      </c>
      <c r="G393" s="32">
        <v>75</v>
      </c>
      <c r="H393" s="40">
        <v>600</v>
      </c>
      <c r="I393" s="32">
        <v>695</v>
      </c>
      <c r="J393" s="32">
        <v>50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ht="15.75">
      <c r="A394" s="13">
        <v>53873</v>
      </c>
      <c r="B394" s="41">
        <v>30</v>
      </c>
      <c r="C394" s="32">
        <v>194.20500000000001</v>
      </c>
      <c r="D394" s="32">
        <v>267.46600000000001</v>
      </c>
      <c r="E394" s="38">
        <v>812.32899999999995</v>
      </c>
      <c r="F394" s="32">
        <v>1274</v>
      </c>
      <c r="G394" s="32">
        <v>50</v>
      </c>
      <c r="H394" s="40">
        <v>600</v>
      </c>
      <c r="I394" s="32">
        <v>695</v>
      </c>
      <c r="J394" s="32">
        <v>50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ht="15.75">
      <c r="A395" s="13">
        <v>53904</v>
      </c>
      <c r="B395" s="41">
        <v>31</v>
      </c>
      <c r="C395" s="32">
        <v>194.20500000000001</v>
      </c>
      <c r="D395" s="32">
        <v>267.46600000000001</v>
      </c>
      <c r="E395" s="38">
        <v>812.32899999999995</v>
      </c>
      <c r="F395" s="32">
        <v>1274</v>
      </c>
      <c r="G395" s="32">
        <v>50</v>
      </c>
      <c r="H395" s="40">
        <v>600</v>
      </c>
      <c r="I395" s="32">
        <v>695</v>
      </c>
      <c r="J395" s="32">
        <v>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</row>
    <row r="396" spans="1:20" ht="15.75">
      <c r="A396" s="13">
        <v>53935</v>
      </c>
      <c r="B396" s="41">
        <v>31</v>
      </c>
      <c r="C396" s="32">
        <v>194.20500000000001</v>
      </c>
      <c r="D396" s="32">
        <v>267.46600000000001</v>
      </c>
      <c r="E396" s="38">
        <v>812.32899999999995</v>
      </c>
      <c r="F396" s="32">
        <v>1274</v>
      </c>
      <c r="G396" s="32">
        <v>50</v>
      </c>
      <c r="H396" s="40">
        <v>600</v>
      </c>
      <c r="I396" s="32">
        <v>695</v>
      </c>
      <c r="J396" s="32">
        <v>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</row>
    <row r="397" spans="1:20" ht="15.75">
      <c r="A397" s="13">
        <v>53965</v>
      </c>
      <c r="B397" s="41">
        <v>30</v>
      </c>
      <c r="C397" s="32">
        <v>194.20500000000001</v>
      </c>
      <c r="D397" s="32">
        <v>267.46600000000001</v>
      </c>
      <c r="E397" s="38">
        <v>812.32899999999995</v>
      </c>
      <c r="F397" s="32">
        <v>1274</v>
      </c>
      <c r="G397" s="32">
        <v>50</v>
      </c>
      <c r="H397" s="40">
        <v>600</v>
      </c>
      <c r="I397" s="32">
        <v>695</v>
      </c>
      <c r="J397" s="32">
        <v>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</row>
    <row r="398" spans="1:20" ht="15.75">
      <c r="A398" s="13">
        <v>53996</v>
      </c>
      <c r="B398" s="41">
        <v>31</v>
      </c>
      <c r="C398" s="32">
        <v>131.881</v>
      </c>
      <c r="D398" s="32">
        <v>277.16699999999997</v>
      </c>
      <c r="E398" s="38">
        <v>829.952</v>
      </c>
      <c r="F398" s="32">
        <v>1239</v>
      </c>
      <c r="G398" s="32">
        <v>75</v>
      </c>
      <c r="H398" s="40">
        <v>600</v>
      </c>
      <c r="I398" s="32">
        <v>695</v>
      </c>
      <c r="J398" s="32">
        <v>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</row>
    <row r="399" spans="1:20" ht="15.75">
      <c r="A399" s="13">
        <v>54026</v>
      </c>
      <c r="B399" s="41">
        <v>30</v>
      </c>
      <c r="C399" s="32">
        <v>122.58</v>
      </c>
      <c r="D399" s="32">
        <v>297.94099999999997</v>
      </c>
      <c r="E399" s="38">
        <v>729.47900000000004</v>
      </c>
      <c r="F399" s="32">
        <v>1150</v>
      </c>
      <c r="G399" s="32">
        <v>100</v>
      </c>
      <c r="H399" s="40">
        <v>600</v>
      </c>
      <c r="I399" s="32">
        <v>695</v>
      </c>
      <c r="J399" s="32">
        <v>50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</row>
    <row r="400" spans="1:20" ht="15.75">
      <c r="A400" s="13">
        <v>54057</v>
      </c>
      <c r="B400" s="41">
        <v>31</v>
      </c>
      <c r="C400" s="32">
        <v>122.58</v>
      </c>
      <c r="D400" s="32">
        <v>297.94099999999997</v>
      </c>
      <c r="E400" s="38">
        <v>729.47900000000004</v>
      </c>
      <c r="F400" s="32">
        <v>1150</v>
      </c>
      <c r="G400" s="32">
        <v>100</v>
      </c>
      <c r="H400" s="40">
        <v>600</v>
      </c>
      <c r="I400" s="32">
        <v>695</v>
      </c>
      <c r="J400" s="32">
        <v>50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</row>
    <row r="401" spans="1:20" ht="15.75">
      <c r="A401" s="13">
        <v>54088</v>
      </c>
      <c r="B401" s="41">
        <v>31</v>
      </c>
      <c r="C401" s="32">
        <v>122.58</v>
      </c>
      <c r="D401" s="32">
        <v>297.94099999999997</v>
      </c>
      <c r="E401" s="38">
        <v>729.47900000000004</v>
      </c>
      <c r="F401" s="32">
        <v>1150</v>
      </c>
      <c r="G401" s="32">
        <v>100</v>
      </c>
      <c r="H401" s="40">
        <v>600</v>
      </c>
      <c r="I401" s="32">
        <v>695</v>
      </c>
      <c r="J401" s="32">
        <v>50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</row>
    <row r="402" spans="1:20" ht="15.75">
      <c r="A402" s="13">
        <v>54116</v>
      </c>
      <c r="B402" s="41">
        <v>29</v>
      </c>
      <c r="C402" s="32">
        <v>122.58</v>
      </c>
      <c r="D402" s="32">
        <v>297.94099999999997</v>
      </c>
      <c r="E402" s="38">
        <v>729.47900000000004</v>
      </c>
      <c r="F402" s="32">
        <v>1150</v>
      </c>
      <c r="G402" s="32">
        <v>100</v>
      </c>
      <c r="H402" s="40">
        <v>600</v>
      </c>
      <c r="I402" s="32">
        <v>695</v>
      </c>
      <c r="J402" s="32">
        <v>50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</row>
    <row r="403" spans="1:20" ht="15.75">
      <c r="A403" s="13">
        <v>54148</v>
      </c>
      <c r="B403" s="41">
        <v>31</v>
      </c>
      <c r="C403" s="32">
        <v>122.58</v>
      </c>
      <c r="D403" s="32">
        <v>297.94099999999997</v>
      </c>
      <c r="E403" s="38">
        <v>729.47900000000004</v>
      </c>
      <c r="F403" s="32">
        <v>1150</v>
      </c>
      <c r="G403" s="32">
        <v>100</v>
      </c>
      <c r="H403" s="40">
        <v>600</v>
      </c>
      <c r="I403" s="32">
        <v>695</v>
      </c>
      <c r="J403" s="32">
        <v>50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</row>
    <row r="404" spans="1:20" ht="15.75">
      <c r="A404" s="13">
        <v>54178</v>
      </c>
      <c r="B404" s="41">
        <v>30</v>
      </c>
      <c r="C404" s="32">
        <v>141.29300000000001</v>
      </c>
      <c r="D404" s="32">
        <v>267.99299999999999</v>
      </c>
      <c r="E404" s="38">
        <v>829.71400000000006</v>
      </c>
      <c r="F404" s="32">
        <v>1239</v>
      </c>
      <c r="G404" s="32">
        <v>100</v>
      </c>
      <c r="H404" s="40">
        <v>600</v>
      </c>
      <c r="I404" s="32">
        <v>695</v>
      </c>
      <c r="J404" s="32">
        <v>50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</row>
    <row r="405" spans="1:20" ht="15.75">
      <c r="A405" s="13">
        <v>54209</v>
      </c>
      <c r="B405" s="41">
        <v>31</v>
      </c>
      <c r="C405" s="32">
        <v>194.20500000000001</v>
      </c>
      <c r="D405" s="32">
        <v>267.46600000000001</v>
      </c>
      <c r="E405" s="38">
        <v>812.32899999999995</v>
      </c>
      <c r="F405" s="32">
        <v>1274</v>
      </c>
      <c r="G405" s="32">
        <v>75</v>
      </c>
      <c r="H405" s="40">
        <v>600</v>
      </c>
      <c r="I405" s="32">
        <v>695</v>
      </c>
      <c r="J405" s="32">
        <v>50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</row>
    <row r="406" spans="1:20" ht="15.75">
      <c r="A406" s="13">
        <v>54239</v>
      </c>
      <c r="B406" s="41">
        <v>30</v>
      </c>
      <c r="C406" s="32">
        <v>194.20500000000001</v>
      </c>
      <c r="D406" s="32">
        <v>267.46600000000001</v>
      </c>
      <c r="E406" s="38">
        <v>812.32899999999995</v>
      </c>
      <c r="F406" s="32">
        <v>1274</v>
      </c>
      <c r="G406" s="32">
        <v>50</v>
      </c>
      <c r="H406" s="40">
        <v>600</v>
      </c>
      <c r="I406" s="32">
        <v>695</v>
      </c>
      <c r="J406" s="32">
        <v>50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</row>
    <row r="407" spans="1:20" ht="15.75">
      <c r="A407" s="13">
        <v>54270</v>
      </c>
      <c r="B407" s="41">
        <v>31</v>
      </c>
      <c r="C407" s="32">
        <v>194.20500000000001</v>
      </c>
      <c r="D407" s="32">
        <v>267.46600000000001</v>
      </c>
      <c r="E407" s="38">
        <v>812.32899999999995</v>
      </c>
      <c r="F407" s="32">
        <v>1274</v>
      </c>
      <c r="G407" s="32">
        <v>50</v>
      </c>
      <c r="H407" s="40">
        <v>600</v>
      </c>
      <c r="I407" s="32">
        <v>695</v>
      </c>
      <c r="J407" s="32">
        <v>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</row>
    <row r="408" spans="1:20" ht="15.75">
      <c r="A408" s="13">
        <v>54301</v>
      </c>
      <c r="B408" s="41">
        <v>31</v>
      </c>
      <c r="C408" s="32">
        <v>194.20500000000001</v>
      </c>
      <c r="D408" s="32">
        <v>267.46600000000001</v>
      </c>
      <c r="E408" s="38">
        <v>812.32899999999995</v>
      </c>
      <c r="F408" s="32">
        <v>1274</v>
      </c>
      <c r="G408" s="32">
        <v>50</v>
      </c>
      <c r="H408" s="40">
        <v>600</v>
      </c>
      <c r="I408" s="32">
        <v>695</v>
      </c>
      <c r="J408" s="32">
        <v>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</row>
    <row r="409" spans="1:20" ht="15.75">
      <c r="A409" s="13">
        <v>54331</v>
      </c>
      <c r="B409" s="41">
        <v>30</v>
      </c>
      <c r="C409" s="32">
        <v>194.20500000000001</v>
      </c>
      <c r="D409" s="32">
        <v>267.46600000000001</v>
      </c>
      <c r="E409" s="38">
        <v>812.32899999999995</v>
      </c>
      <c r="F409" s="32">
        <v>1274</v>
      </c>
      <c r="G409" s="32">
        <v>50</v>
      </c>
      <c r="H409" s="40">
        <v>600</v>
      </c>
      <c r="I409" s="32">
        <v>695</v>
      </c>
      <c r="J409" s="32">
        <v>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ht="15.75">
      <c r="A410" s="13">
        <v>54362</v>
      </c>
      <c r="B410" s="41">
        <v>31</v>
      </c>
      <c r="C410" s="32">
        <v>131.881</v>
      </c>
      <c r="D410" s="32">
        <v>277.16699999999997</v>
      </c>
      <c r="E410" s="38">
        <v>829.952</v>
      </c>
      <c r="F410" s="32">
        <v>1239</v>
      </c>
      <c r="G410" s="32">
        <v>75</v>
      </c>
      <c r="H410" s="40">
        <v>600</v>
      </c>
      <c r="I410" s="32">
        <v>695</v>
      </c>
      <c r="J410" s="32">
        <v>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ht="15.75">
      <c r="A411" s="13">
        <v>54392</v>
      </c>
      <c r="B411" s="41">
        <v>30</v>
      </c>
      <c r="C411" s="32">
        <v>122.58</v>
      </c>
      <c r="D411" s="32">
        <v>297.94099999999997</v>
      </c>
      <c r="E411" s="38">
        <v>729.47900000000004</v>
      </c>
      <c r="F411" s="32">
        <v>1150</v>
      </c>
      <c r="G411" s="32">
        <v>100</v>
      </c>
      <c r="H411" s="40">
        <v>600</v>
      </c>
      <c r="I411" s="32">
        <v>695</v>
      </c>
      <c r="J411" s="32">
        <v>50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ht="15.75">
      <c r="A412" s="13">
        <v>54423</v>
      </c>
      <c r="B412" s="41">
        <v>31</v>
      </c>
      <c r="C412" s="32">
        <v>122.58</v>
      </c>
      <c r="D412" s="32">
        <v>297.94099999999997</v>
      </c>
      <c r="E412" s="38">
        <v>729.47900000000004</v>
      </c>
      <c r="F412" s="32">
        <v>1150</v>
      </c>
      <c r="G412" s="32">
        <v>100</v>
      </c>
      <c r="H412" s="40">
        <v>600</v>
      </c>
      <c r="I412" s="32">
        <v>695</v>
      </c>
      <c r="J412" s="32">
        <v>50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ht="15.75">
      <c r="A413" s="13">
        <v>54454</v>
      </c>
      <c r="B413" s="41">
        <v>31</v>
      </c>
      <c r="C413" s="32">
        <v>122.58</v>
      </c>
      <c r="D413" s="32">
        <v>297.94099999999997</v>
      </c>
      <c r="E413" s="38">
        <v>729.47900000000004</v>
      </c>
      <c r="F413" s="32">
        <v>1150</v>
      </c>
      <c r="G413" s="32">
        <v>100</v>
      </c>
      <c r="H413" s="40">
        <v>600</v>
      </c>
      <c r="I413" s="32">
        <v>695</v>
      </c>
      <c r="J413" s="32">
        <v>50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ht="15.75">
      <c r="A414" s="13">
        <v>54482</v>
      </c>
      <c r="B414" s="41">
        <v>28</v>
      </c>
      <c r="C414" s="32">
        <v>122.58</v>
      </c>
      <c r="D414" s="32">
        <v>297.94099999999997</v>
      </c>
      <c r="E414" s="38">
        <v>729.47900000000004</v>
      </c>
      <c r="F414" s="32">
        <v>1150</v>
      </c>
      <c r="G414" s="32">
        <v>100</v>
      </c>
      <c r="H414" s="40">
        <v>600</v>
      </c>
      <c r="I414" s="32">
        <v>695</v>
      </c>
      <c r="J414" s="32">
        <v>50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</row>
    <row r="415" spans="1:20" ht="15.75">
      <c r="A415" s="13">
        <v>54513</v>
      </c>
      <c r="B415" s="41">
        <v>31</v>
      </c>
      <c r="C415" s="32">
        <v>122.58</v>
      </c>
      <c r="D415" s="32">
        <v>297.94099999999997</v>
      </c>
      <c r="E415" s="38">
        <v>729.47900000000004</v>
      </c>
      <c r="F415" s="32">
        <v>1150</v>
      </c>
      <c r="G415" s="32">
        <v>100</v>
      </c>
      <c r="H415" s="40">
        <v>600</v>
      </c>
      <c r="I415" s="32">
        <v>695</v>
      </c>
      <c r="J415" s="32">
        <v>50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</row>
    <row r="416" spans="1:20" ht="15.75">
      <c r="A416" s="13">
        <v>54543</v>
      </c>
      <c r="B416" s="41">
        <v>30</v>
      </c>
      <c r="C416" s="32">
        <v>141.29300000000001</v>
      </c>
      <c r="D416" s="32">
        <v>267.99299999999999</v>
      </c>
      <c r="E416" s="38">
        <v>829.71400000000006</v>
      </c>
      <c r="F416" s="32">
        <v>1239</v>
      </c>
      <c r="G416" s="32">
        <v>100</v>
      </c>
      <c r="H416" s="40">
        <v>600</v>
      </c>
      <c r="I416" s="32">
        <v>695</v>
      </c>
      <c r="J416" s="32">
        <v>50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</row>
    <row r="417" spans="1:20" ht="15.75">
      <c r="A417" s="13">
        <v>54574</v>
      </c>
      <c r="B417" s="41">
        <v>31</v>
      </c>
      <c r="C417" s="32">
        <v>194.20500000000001</v>
      </c>
      <c r="D417" s="32">
        <v>267.46600000000001</v>
      </c>
      <c r="E417" s="38">
        <v>812.32899999999995</v>
      </c>
      <c r="F417" s="32">
        <v>1274</v>
      </c>
      <c r="G417" s="32">
        <v>75</v>
      </c>
      <c r="H417" s="40">
        <v>600</v>
      </c>
      <c r="I417" s="32">
        <v>695</v>
      </c>
      <c r="J417" s="32">
        <v>50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</row>
    <row r="418" spans="1:20" ht="15.75">
      <c r="A418" s="13">
        <v>54604</v>
      </c>
      <c r="B418" s="41">
        <v>30</v>
      </c>
      <c r="C418" s="32">
        <v>194.20500000000001</v>
      </c>
      <c r="D418" s="32">
        <v>267.46600000000001</v>
      </c>
      <c r="E418" s="38">
        <v>812.32899999999995</v>
      </c>
      <c r="F418" s="32">
        <v>1274</v>
      </c>
      <c r="G418" s="32">
        <v>50</v>
      </c>
      <c r="H418" s="40">
        <v>600</v>
      </c>
      <c r="I418" s="32">
        <v>695</v>
      </c>
      <c r="J418" s="32">
        <v>50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</row>
    <row r="419" spans="1:20" ht="15.75">
      <c r="A419" s="13">
        <v>54635</v>
      </c>
      <c r="B419" s="41">
        <v>31</v>
      </c>
      <c r="C419" s="32">
        <v>194.20500000000001</v>
      </c>
      <c r="D419" s="32">
        <v>267.46600000000001</v>
      </c>
      <c r="E419" s="38">
        <v>812.32899999999995</v>
      </c>
      <c r="F419" s="32">
        <v>1274</v>
      </c>
      <c r="G419" s="32">
        <v>50</v>
      </c>
      <c r="H419" s="40">
        <v>600</v>
      </c>
      <c r="I419" s="32">
        <v>695</v>
      </c>
      <c r="J419" s="32">
        <v>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</row>
    <row r="420" spans="1:20" ht="15.75">
      <c r="A420" s="13">
        <v>54666</v>
      </c>
      <c r="B420" s="41">
        <v>31</v>
      </c>
      <c r="C420" s="32">
        <v>194.20500000000001</v>
      </c>
      <c r="D420" s="32">
        <v>267.46600000000001</v>
      </c>
      <c r="E420" s="38">
        <v>812.32899999999995</v>
      </c>
      <c r="F420" s="32">
        <v>1274</v>
      </c>
      <c r="G420" s="32">
        <v>50</v>
      </c>
      <c r="H420" s="40">
        <v>600</v>
      </c>
      <c r="I420" s="32">
        <v>695</v>
      </c>
      <c r="J420" s="32">
        <v>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</row>
    <row r="421" spans="1:20" ht="15.75">
      <c r="A421" s="13">
        <v>54696</v>
      </c>
      <c r="B421" s="41">
        <v>30</v>
      </c>
      <c r="C421" s="32">
        <v>194.20500000000001</v>
      </c>
      <c r="D421" s="32">
        <v>267.46600000000001</v>
      </c>
      <c r="E421" s="38">
        <v>812.32899999999995</v>
      </c>
      <c r="F421" s="32">
        <v>1274</v>
      </c>
      <c r="G421" s="32">
        <v>50</v>
      </c>
      <c r="H421" s="40">
        <v>600</v>
      </c>
      <c r="I421" s="32">
        <v>695</v>
      </c>
      <c r="J421" s="32">
        <v>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</row>
    <row r="422" spans="1:20" ht="15.75">
      <c r="A422" s="13">
        <v>54727</v>
      </c>
      <c r="B422" s="41">
        <v>31</v>
      </c>
      <c r="C422" s="32">
        <v>131.881</v>
      </c>
      <c r="D422" s="32">
        <v>277.16699999999997</v>
      </c>
      <c r="E422" s="38">
        <v>829.952</v>
      </c>
      <c r="F422" s="32">
        <v>1239</v>
      </c>
      <c r="G422" s="32">
        <v>75</v>
      </c>
      <c r="H422" s="40">
        <v>600</v>
      </c>
      <c r="I422" s="32">
        <v>695</v>
      </c>
      <c r="J422" s="32">
        <v>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</row>
    <row r="423" spans="1:20" ht="15.75">
      <c r="A423" s="13">
        <v>54757</v>
      </c>
      <c r="B423" s="41">
        <v>30</v>
      </c>
      <c r="C423" s="32">
        <v>122.58</v>
      </c>
      <c r="D423" s="32">
        <v>297.94099999999997</v>
      </c>
      <c r="E423" s="38">
        <v>729.47900000000004</v>
      </c>
      <c r="F423" s="32">
        <v>1150</v>
      </c>
      <c r="G423" s="32">
        <v>100</v>
      </c>
      <c r="H423" s="40">
        <v>600</v>
      </c>
      <c r="I423" s="32">
        <v>695</v>
      </c>
      <c r="J423" s="32">
        <v>50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</row>
    <row r="424" spans="1:20" ht="15.75">
      <c r="A424" s="13">
        <v>54788</v>
      </c>
      <c r="B424" s="41">
        <v>31</v>
      </c>
      <c r="C424" s="32">
        <v>122.58</v>
      </c>
      <c r="D424" s="32">
        <v>297.94099999999997</v>
      </c>
      <c r="E424" s="38">
        <v>729.47900000000004</v>
      </c>
      <c r="F424" s="32">
        <v>1150</v>
      </c>
      <c r="G424" s="32">
        <v>100</v>
      </c>
      <c r="H424" s="40">
        <v>600</v>
      </c>
      <c r="I424" s="32">
        <v>695</v>
      </c>
      <c r="J424" s="32">
        <v>50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</row>
    <row r="425" spans="1:20" ht="15.75">
      <c r="A425" s="13">
        <v>54819</v>
      </c>
      <c r="B425" s="41">
        <v>31</v>
      </c>
      <c r="C425" s="32">
        <v>122.58</v>
      </c>
      <c r="D425" s="32">
        <v>297.94099999999997</v>
      </c>
      <c r="E425" s="38">
        <v>729.47900000000004</v>
      </c>
      <c r="F425" s="32">
        <v>1150</v>
      </c>
      <c r="G425" s="32">
        <v>100</v>
      </c>
      <c r="H425" s="40">
        <v>600</v>
      </c>
      <c r="I425" s="32">
        <v>695</v>
      </c>
      <c r="J425" s="32">
        <v>50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</row>
    <row r="426" spans="1:20" ht="15.75">
      <c r="A426" s="13">
        <v>54847</v>
      </c>
      <c r="B426" s="41">
        <v>28</v>
      </c>
      <c r="C426" s="32">
        <v>122.58</v>
      </c>
      <c r="D426" s="32">
        <v>297.94099999999997</v>
      </c>
      <c r="E426" s="38">
        <v>729.47900000000004</v>
      </c>
      <c r="F426" s="32">
        <v>1150</v>
      </c>
      <c r="G426" s="32">
        <v>100</v>
      </c>
      <c r="H426" s="40">
        <v>600</v>
      </c>
      <c r="I426" s="32">
        <v>695</v>
      </c>
      <c r="J426" s="32">
        <v>50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</row>
    <row r="427" spans="1:20" ht="15.75">
      <c r="A427" s="13">
        <v>54878</v>
      </c>
      <c r="B427" s="41">
        <v>31</v>
      </c>
      <c r="C427" s="32">
        <v>122.58</v>
      </c>
      <c r="D427" s="32">
        <v>297.94099999999997</v>
      </c>
      <c r="E427" s="38">
        <v>729.47900000000004</v>
      </c>
      <c r="F427" s="32">
        <v>1150</v>
      </c>
      <c r="G427" s="32">
        <v>100</v>
      </c>
      <c r="H427" s="40">
        <v>600</v>
      </c>
      <c r="I427" s="32">
        <v>695</v>
      </c>
      <c r="J427" s="32">
        <v>50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</row>
    <row r="428" spans="1:20" ht="15.75">
      <c r="A428" s="13">
        <v>54908</v>
      </c>
      <c r="B428" s="41">
        <v>30</v>
      </c>
      <c r="C428" s="32">
        <v>141.29300000000001</v>
      </c>
      <c r="D428" s="32">
        <v>267.99299999999999</v>
      </c>
      <c r="E428" s="38">
        <v>829.71400000000006</v>
      </c>
      <c r="F428" s="32">
        <v>1239</v>
      </c>
      <c r="G428" s="32">
        <v>100</v>
      </c>
      <c r="H428" s="40">
        <v>600</v>
      </c>
      <c r="I428" s="32">
        <v>695</v>
      </c>
      <c r="J428" s="32">
        <v>50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</row>
    <row r="429" spans="1:20" ht="15.75">
      <c r="A429" s="13">
        <v>54939</v>
      </c>
      <c r="B429" s="41">
        <v>31</v>
      </c>
      <c r="C429" s="32">
        <v>194.20500000000001</v>
      </c>
      <c r="D429" s="32">
        <v>267.46600000000001</v>
      </c>
      <c r="E429" s="38">
        <v>812.32899999999995</v>
      </c>
      <c r="F429" s="32">
        <v>1274</v>
      </c>
      <c r="G429" s="32">
        <v>75</v>
      </c>
      <c r="H429" s="40">
        <v>600</v>
      </c>
      <c r="I429" s="32">
        <v>695</v>
      </c>
      <c r="J429" s="32">
        <v>50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</row>
    <row r="430" spans="1:20" ht="15.75">
      <c r="A430" s="13">
        <v>54969</v>
      </c>
      <c r="B430" s="41">
        <v>30</v>
      </c>
      <c r="C430" s="32">
        <v>194.20500000000001</v>
      </c>
      <c r="D430" s="32">
        <v>267.46600000000001</v>
      </c>
      <c r="E430" s="38">
        <v>812.32899999999995</v>
      </c>
      <c r="F430" s="32">
        <v>1274</v>
      </c>
      <c r="G430" s="32">
        <v>50</v>
      </c>
      <c r="H430" s="40">
        <v>600</v>
      </c>
      <c r="I430" s="32">
        <v>695</v>
      </c>
      <c r="J430" s="32">
        <v>50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</row>
    <row r="431" spans="1:20" ht="15.75">
      <c r="A431" s="13">
        <v>55000</v>
      </c>
      <c r="B431" s="41">
        <v>31</v>
      </c>
      <c r="C431" s="32">
        <v>194.20500000000001</v>
      </c>
      <c r="D431" s="32">
        <v>267.46600000000001</v>
      </c>
      <c r="E431" s="38">
        <v>812.32899999999995</v>
      </c>
      <c r="F431" s="32">
        <v>1274</v>
      </c>
      <c r="G431" s="32">
        <v>50</v>
      </c>
      <c r="H431" s="40">
        <v>600</v>
      </c>
      <c r="I431" s="32">
        <v>695</v>
      </c>
      <c r="J431" s="32">
        <v>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</row>
    <row r="432" spans="1:20" ht="15.75">
      <c r="A432" s="13">
        <v>55031</v>
      </c>
      <c r="B432" s="41">
        <v>31</v>
      </c>
      <c r="C432" s="32">
        <v>194.20500000000001</v>
      </c>
      <c r="D432" s="32">
        <v>267.46600000000001</v>
      </c>
      <c r="E432" s="38">
        <v>812.32899999999995</v>
      </c>
      <c r="F432" s="32">
        <v>1274</v>
      </c>
      <c r="G432" s="32">
        <v>50</v>
      </c>
      <c r="H432" s="40">
        <v>600</v>
      </c>
      <c r="I432" s="32">
        <v>695</v>
      </c>
      <c r="J432" s="32">
        <v>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</row>
    <row r="433" spans="1:20" ht="15.75">
      <c r="A433" s="13">
        <v>55061</v>
      </c>
      <c r="B433" s="41">
        <v>30</v>
      </c>
      <c r="C433" s="32">
        <v>194.20500000000001</v>
      </c>
      <c r="D433" s="32">
        <v>267.46600000000001</v>
      </c>
      <c r="E433" s="38">
        <v>812.32899999999995</v>
      </c>
      <c r="F433" s="32">
        <v>1274</v>
      </c>
      <c r="G433" s="32">
        <v>50</v>
      </c>
      <c r="H433" s="40">
        <v>600</v>
      </c>
      <c r="I433" s="32">
        <v>695</v>
      </c>
      <c r="J433" s="32">
        <v>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</row>
    <row r="434" spans="1:20" ht="15.75">
      <c r="A434" s="13">
        <v>55092</v>
      </c>
      <c r="B434" s="41">
        <v>31</v>
      </c>
      <c r="C434" s="32">
        <v>131.881</v>
      </c>
      <c r="D434" s="32">
        <v>277.16699999999997</v>
      </c>
      <c r="E434" s="38">
        <v>829.952</v>
      </c>
      <c r="F434" s="32">
        <v>1239</v>
      </c>
      <c r="G434" s="32">
        <v>75</v>
      </c>
      <c r="H434" s="40">
        <v>600</v>
      </c>
      <c r="I434" s="32">
        <v>695</v>
      </c>
      <c r="J434" s="32">
        <v>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</row>
    <row r="435" spans="1:20" ht="15.75">
      <c r="A435" s="13">
        <v>55122</v>
      </c>
      <c r="B435" s="41">
        <v>30</v>
      </c>
      <c r="C435" s="32">
        <v>122.58</v>
      </c>
      <c r="D435" s="32">
        <v>297.94099999999997</v>
      </c>
      <c r="E435" s="38">
        <v>729.47900000000004</v>
      </c>
      <c r="F435" s="32">
        <v>1150</v>
      </c>
      <c r="G435" s="32">
        <v>100</v>
      </c>
      <c r="H435" s="40">
        <v>600</v>
      </c>
      <c r="I435" s="32">
        <v>695</v>
      </c>
      <c r="J435" s="32">
        <v>50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</row>
    <row r="436" spans="1:20" ht="15.75">
      <c r="A436" s="13">
        <v>55153</v>
      </c>
      <c r="B436" s="41">
        <v>31</v>
      </c>
      <c r="C436" s="32">
        <v>122.58</v>
      </c>
      <c r="D436" s="32">
        <v>297.94099999999997</v>
      </c>
      <c r="E436" s="38">
        <v>729.47900000000004</v>
      </c>
      <c r="F436" s="32">
        <v>1150</v>
      </c>
      <c r="G436" s="32">
        <v>100</v>
      </c>
      <c r="H436" s="40">
        <v>600</v>
      </c>
      <c r="I436" s="32">
        <v>695</v>
      </c>
      <c r="J436" s="32">
        <v>50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</row>
    <row r="437" spans="1:20" ht="15.75">
      <c r="A437" s="13">
        <v>55184</v>
      </c>
      <c r="B437" s="41">
        <v>31</v>
      </c>
      <c r="C437" s="32">
        <v>122.58</v>
      </c>
      <c r="D437" s="32">
        <v>297.94099999999997</v>
      </c>
      <c r="E437" s="38">
        <v>729.47900000000004</v>
      </c>
      <c r="F437" s="32">
        <v>1150</v>
      </c>
      <c r="G437" s="32">
        <v>100</v>
      </c>
      <c r="H437" s="40">
        <v>600</v>
      </c>
      <c r="I437" s="32">
        <v>695</v>
      </c>
      <c r="J437" s="32">
        <v>50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</row>
    <row r="438" spans="1:20" ht="15.75">
      <c r="A438" s="13">
        <v>55212</v>
      </c>
      <c r="B438" s="41">
        <v>28</v>
      </c>
      <c r="C438" s="32">
        <v>122.58</v>
      </c>
      <c r="D438" s="32">
        <v>297.94099999999997</v>
      </c>
      <c r="E438" s="38">
        <v>729.47900000000004</v>
      </c>
      <c r="F438" s="32">
        <v>1150</v>
      </c>
      <c r="G438" s="32">
        <v>100</v>
      </c>
      <c r="H438" s="40">
        <v>600</v>
      </c>
      <c r="I438" s="32">
        <v>695</v>
      </c>
      <c r="J438" s="32">
        <v>50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ht="15.75">
      <c r="A439" s="13">
        <v>55243</v>
      </c>
      <c r="B439" s="41">
        <v>31</v>
      </c>
      <c r="C439" s="32">
        <v>122.58</v>
      </c>
      <c r="D439" s="32">
        <v>297.94099999999997</v>
      </c>
      <c r="E439" s="38">
        <v>729.47900000000004</v>
      </c>
      <c r="F439" s="32">
        <v>1150</v>
      </c>
      <c r="G439" s="32">
        <v>100</v>
      </c>
      <c r="H439" s="40">
        <v>600</v>
      </c>
      <c r="I439" s="32">
        <v>695</v>
      </c>
      <c r="J439" s="32">
        <v>50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ht="15.75">
      <c r="A440" s="13">
        <v>55273</v>
      </c>
      <c r="B440" s="41">
        <v>30</v>
      </c>
      <c r="C440" s="32">
        <v>141.29300000000001</v>
      </c>
      <c r="D440" s="32">
        <v>267.99299999999999</v>
      </c>
      <c r="E440" s="38">
        <v>829.71400000000006</v>
      </c>
      <c r="F440" s="32">
        <v>1239</v>
      </c>
      <c r="G440" s="32">
        <v>100</v>
      </c>
      <c r="H440" s="40">
        <v>600</v>
      </c>
      <c r="I440" s="32">
        <v>695</v>
      </c>
      <c r="J440" s="32">
        <v>50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ht="15.75">
      <c r="A441" s="13">
        <v>55304</v>
      </c>
      <c r="B441" s="41">
        <v>31</v>
      </c>
      <c r="C441" s="32">
        <v>194.20500000000001</v>
      </c>
      <c r="D441" s="32">
        <v>267.46600000000001</v>
      </c>
      <c r="E441" s="38">
        <v>812.32899999999995</v>
      </c>
      <c r="F441" s="32">
        <v>1274</v>
      </c>
      <c r="G441" s="32">
        <v>75</v>
      </c>
      <c r="H441" s="40">
        <v>600</v>
      </c>
      <c r="I441" s="32">
        <v>695</v>
      </c>
      <c r="J441" s="32">
        <v>50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ht="15.75">
      <c r="A442" s="13">
        <v>55334</v>
      </c>
      <c r="B442" s="41">
        <v>30</v>
      </c>
      <c r="C442" s="32">
        <v>194.20500000000001</v>
      </c>
      <c r="D442" s="32">
        <v>267.46600000000001</v>
      </c>
      <c r="E442" s="38">
        <v>812.32899999999995</v>
      </c>
      <c r="F442" s="32">
        <v>1274</v>
      </c>
      <c r="G442" s="32">
        <v>50</v>
      </c>
      <c r="H442" s="40">
        <v>600</v>
      </c>
      <c r="I442" s="32">
        <v>695</v>
      </c>
      <c r="J442" s="32">
        <v>50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ht="15.75">
      <c r="A443" s="13">
        <v>55365</v>
      </c>
      <c r="B443" s="41">
        <v>31</v>
      </c>
      <c r="C443" s="32">
        <v>194.20500000000001</v>
      </c>
      <c r="D443" s="32">
        <v>267.46600000000001</v>
      </c>
      <c r="E443" s="38">
        <v>812.32899999999995</v>
      </c>
      <c r="F443" s="32">
        <v>1274</v>
      </c>
      <c r="G443" s="32">
        <v>50</v>
      </c>
      <c r="H443" s="40">
        <v>600</v>
      </c>
      <c r="I443" s="32">
        <v>695</v>
      </c>
      <c r="J443" s="32">
        <v>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ht="15.75">
      <c r="A444" s="13">
        <v>55396</v>
      </c>
      <c r="B444" s="41">
        <v>31</v>
      </c>
      <c r="C444" s="32">
        <v>194.20500000000001</v>
      </c>
      <c r="D444" s="32">
        <v>267.46600000000001</v>
      </c>
      <c r="E444" s="38">
        <v>812.32899999999995</v>
      </c>
      <c r="F444" s="32">
        <v>1274</v>
      </c>
      <c r="G444" s="32">
        <v>50</v>
      </c>
      <c r="H444" s="40">
        <v>600</v>
      </c>
      <c r="I444" s="32">
        <v>695</v>
      </c>
      <c r="J444" s="32">
        <v>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ht="15.75">
      <c r="A445" s="13">
        <v>55426</v>
      </c>
      <c r="B445" s="41">
        <v>30</v>
      </c>
      <c r="C445" s="32">
        <v>194.20500000000001</v>
      </c>
      <c r="D445" s="32">
        <v>267.46600000000001</v>
      </c>
      <c r="E445" s="38">
        <v>812.32899999999995</v>
      </c>
      <c r="F445" s="32">
        <v>1274</v>
      </c>
      <c r="G445" s="32">
        <v>50</v>
      </c>
      <c r="H445" s="40">
        <v>600</v>
      </c>
      <c r="I445" s="32">
        <v>695</v>
      </c>
      <c r="J445" s="32">
        <v>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ht="15.75">
      <c r="A446" s="13">
        <v>55457</v>
      </c>
      <c r="B446" s="41">
        <v>31</v>
      </c>
      <c r="C446" s="32">
        <v>131.881</v>
      </c>
      <c r="D446" s="32">
        <v>277.16699999999997</v>
      </c>
      <c r="E446" s="38">
        <v>829.952</v>
      </c>
      <c r="F446" s="32">
        <v>1239</v>
      </c>
      <c r="G446" s="32">
        <v>75</v>
      </c>
      <c r="H446" s="40">
        <v>600</v>
      </c>
      <c r="I446" s="32">
        <v>695</v>
      </c>
      <c r="J446" s="32">
        <v>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ht="15.75">
      <c r="A447" s="13">
        <v>55487</v>
      </c>
      <c r="B447" s="41">
        <v>30</v>
      </c>
      <c r="C447" s="32">
        <v>122.58</v>
      </c>
      <c r="D447" s="32">
        <v>297.94099999999997</v>
      </c>
      <c r="E447" s="38">
        <v>729.47900000000004</v>
      </c>
      <c r="F447" s="32">
        <v>1150</v>
      </c>
      <c r="G447" s="32">
        <v>100</v>
      </c>
      <c r="H447" s="40">
        <v>600</v>
      </c>
      <c r="I447" s="32">
        <v>695</v>
      </c>
      <c r="J447" s="32">
        <v>50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</row>
    <row r="448" spans="1:20" ht="15.75">
      <c r="A448" s="13">
        <v>55518</v>
      </c>
      <c r="B448" s="41">
        <v>31</v>
      </c>
      <c r="C448" s="32">
        <v>122.58</v>
      </c>
      <c r="D448" s="32">
        <v>297.94099999999997</v>
      </c>
      <c r="E448" s="38">
        <v>729.47900000000004</v>
      </c>
      <c r="F448" s="32">
        <v>1150</v>
      </c>
      <c r="G448" s="32">
        <v>100</v>
      </c>
      <c r="H448" s="40">
        <v>600</v>
      </c>
      <c r="I448" s="32">
        <v>695</v>
      </c>
      <c r="J448" s="32">
        <v>50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</row>
    <row r="449" spans="1:20" ht="15.75">
      <c r="A449" s="13">
        <v>55549</v>
      </c>
      <c r="B449" s="41">
        <v>31</v>
      </c>
      <c r="C449" s="32">
        <v>122.58</v>
      </c>
      <c r="D449" s="32">
        <v>297.94099999999997</v>
      </c>
      <c r="E449" s="38">
        <v>729.47900000000004</v>
      </c>
      <c r="F449" s="32">
        <v>1150</v>
      </c>
      <c r="G449" s="32">
        <v>100</v>
      </c>
      <c r="H449" s="40">
        <v>600</v>
      </c>
      <c r="I449" s="32">
        <v>695</v>
      </c>
      <c r="J449" s="32">
        <v>50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</row>
    <row r="450" spans="1:20" ht="15.75">
      <c r="A450" s="13">
        <v>55577</v>
      </c>
      <c r="B450" s="41">
        <v>29</v>
      </c>
      <c r="C450" s="32">
        <v>122.58</v>
      </c>
      <c r="D450" s="32">
        <v>297.94099999999997</v>
      </c>
      <c r="E450" s="38">
        <v>729.47900000000004</v>
      </c>
      <c r="F450" s="32">
        <v>1150</v>
      </c>
      <c r="G450" s="32">
        <v>100</v>
      </c>
      <c r="H450" s="40">
        <v>600</v>
      </c>
      <c r="I450" s="32">
        <v>695</v>
      </c>
      <c r="J450" s="32">
        <v>50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</row>
    <row r="451" spans="1:20" ht="15.75">
      <c r="A451" s="13">
        <v>55609</v>
      </c>
      <c r="B451" s="41">
        <v>31</v>
      </c>
      <c r="C451" s="32">
        <v>122.58</v>
      </c>
      <c r="D451" s="32">
        <v>297.94099999999997</v>
      </c>
      <c r="E451" s="38">
        <v>729.47900000000004</v>
      </c>
      <c r="F451" s="32">
        <v>1150</v>
      </c>
      <c r="G451" s="32">
        <v>100</v>
      </c>
      <c r="H451" s="40">
        <v>600</v>
      </c>
      <c r="I451" s="32">
        <v>695</v>
      </c>
      <c r="J451" s="32">
        <v>50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</row>
    <row r="452" spans="1:20" ht="15.75">
      <c r="A452" s="13">
        <v>55639</v>
      </c>
      <c r="B452" s="41">
        <v>30</v>
      </c>
      <c r="C452" s="32">
        <v>141.29300000000001</v>
      </c>
      <c r="D452" s="32">
        <v>267.99299999999999</v>
      </c>
      <c r="E452" s="38">
        <v>829.71400000000006</v>
      </c>
      <c r="F452" s="32">
        <v>1239</v>
      </c>
      <c r="G452" s="32">
        <v>100</v>
      </c>
      <c r="H452" s="40">
        <v>600</v>
      </c>
      <c r="I452" s="32">
        <v>695</v>
      </c>
      <c r="J452" s="32">
        <v>50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</row>
    <row r="453" spans="1:20" ht="15.75">
      <c r="A453" s="13">
        <v>55670</v>
      </c>
      <c r="B453" s="41">
        <v>31</v>
      </c>
      <c r="C453" s="32">
        <v>194.20500000000001</v>
      </c>
      <c r="D453" s="32">
        <v>267.46600000000001</v>
      </c>
      <c r="E453" s="38">
        <v>812.32899999999995</v>
      </c>
      <c r="F453" s="32">
        <v>1274</v>
      </c>
      <c r="G453" s="32">
        <v>75</v>
      </c>
      <c r="H453" s="40">
        <v>600</v>
      </c>
      <c r="I453" s="32">
        <v>695</v>
      </c>
      <c r="J453" s="32">
        <v>50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</row>
    <row r="454" spans="1:20" ht="15.75">
      <c r="A454" s="13">
        <v>55700</v>
      </c>
      <c r="B454" s="41">
        <v>30</v>
      </c>
      <c r="C454" s="32">
        <v>194.20500000000001</v>
      </c>
      <c r="D454" s="32">
        <v>267.46600000000001</v>
      </c>
      <c r="E454" s="38">
        <v>812.32899999999995</v>
      </c>
      <c r="F454" s="32">
        <v>1274</v>
      </c>
      <c r="G454" s="32">
        <v>50</v>
      </c>
      <c r="H454" s="40">
        <v>600</v>
      </c>
      <c r="I454" s="32">
        <v>695</v>
      </c>
      <c r="J454" s="32">
        <v>50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</row>
    <row r="455" spans="1:20" ht="15.75">
      <c r="A455" s="13">
        <v>55731</v>
      </c>
      <c r="B455" s="41">
        <v>31</v>
      </c>
      <c r="C455" s="32">
        <v>194.20500000000001</v>
      </c>
      <c r="D455" s="32">
        <v>267.46600000000001</v>
      </c>
      <c r="E455" s="38">
        <v>812.32899999999995</v>
      </c>
      <c r="F455" s="32">
        <v>1274</v>
      </c>
      <c r="G455" s="32">
        <v>50</v>
      </c>
      <c r="H455" s="40">
        <v>600</v>
      </c>
      <c r="I455" s="32">
        <v>695</v>
      </c>
      <c r="J455" s="32">
        <v>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</row>
    <row r="456" spans="1:20" ht="15.75">
      <c r="A456" s="13">
        <v>55762</v>
      </c>
      <c r="B456" s="41">
        <v>31</v>
      </c>
      <c r="C456" s="32">
        <v>194.20500000000001</v>
      </c>
      <c r="D456" s="32">
        <v>267.46600000000001</v>
      </c>
      <c r="E456" s="38">
        <v>812.32899999999995</v>
      </c>
      <c r="F456" s="32">
        <v>1274</v>
      </c>
      <c r="G456" s="32">
        <v>50</v>
      </c>
      <c r="H456" s="40">
        <v>600</v>
      </c>
      <c r="I456" s="32">
        <v>695</v>
      </c>
      <c r="J456" s="32">
        <v>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</row>
    <row r="457" spans="1:20" ht="15.75">
      <c r="A457" s="13">
        <v>55792</v>
      </c>
      <c r="B457" s="41">
        <v>30</v>
      </c>
      <c r="C457" s="32">
        <v>194.20500000000001</v>
      </c>
      <c r="D457" s="32">
        <v>267.46600000000001</v>
      </c>
      <c r="E457" s="38">
        <v>812.32899999999995</v>
      </c>
      <c r="F457" s="32">
        <v>1274</v>
      </c>
      <c r="G457" s="32">
        <v>50</v>
      </c>
      <c r="H457" s="40">
        <v>600</v>
      </c>
      <c r="I457" s="32">
        <v>695</v>
      </c>
      <c r="J457" s="32">
        <v>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</row>
    <row r="458" spans="1:20" ht="15.75">
      <c r="A458" s="13">
        <v>55823</v>
      </c>
      <c r="B458" s="41">
        <v>31</v>
      </c>
      <c r="C458" s="32">
        <v>131.881</v>
      </c>
      <c r="D458" s="32">
        <v>277.16699999999997</v>
      </c>
      <c r="E458" s="38">
        <v>829.952</v>
      </c>
      <c r="F458" s="32">
        <v>1239</v>
      </c>
      <c r="G458" s="32">
        <v>75</v>
      </c>
      <c r="H458" s="40">
        <v>600</v>
      </c>
      <c r="I458" s="32">
        <v>695</v>
      </c>
      <c r="J458" s="32">
        <v>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</row>
    <row r="459" spans="1:20" ht="15.75">
      <c r="A459" s="13">
        <v>55853</v>
      </c>
      <c r="B459" s="41">
        <v>30</v>
      </c>
      <c r="C459" s="32">
        <v>122.58</v>
      </c>
      <c r="D459" s="32">
        <v>297.94099999999997</v>
      </c>
      <c r="E459" s="38">
        <v>729.47900000000004</v>
      </c>
      <c r="F459" s="32">
        <v>1150</v>
      </c>
      <c r="G459" s="32">
        <v>100</v>
      </c>
      <c r="H459" s="40">
        <v>600</v>
      </c>
      <c r="I459" s="32">
        <v>695</v>
      </c>
      <c r="J459" s="32">
        <v>50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</row>
    <row r="460" spans="1:20" ht="15.75">
      <c r="A460" s="13">
        <v>55884</v>
      </c>
      <c r="B460" s="41">
        <v>31</v>
      </c>
      <c r="C460" s="32">
        <v>122.58</v>
      </c>
      <c r="D460" s="32">
        <v>297.94099999999997</v>
      </c>
      <c r="E460" s="38">
        <v>729.47900000000004</v>
      </c>
      <c r="F460" s="32">
        <v>1150</v>
      </c>
      <c r="G460" s="32">
        <v>100</v>
      </c>
      <c r="H460" s="40">
        <v>600</v>
      </c>
      <c r="I460" s="32">
        <v>695</v>
      </c>
      <c r="J460" s="32">
        <v>50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ht="15.75">
      <c r="A461" s="13">
        <v>55915</v>
      </c>
      <c r="B461" s="41">
        <v>31</v>
      </c>
      <c r="C461" s="32">
        <v>122.58</v>
      </c>
      <c r="D461" s="32">
        <v>297.94099999999997</v>
      </c>
      <c r="E461" s="38">
        <v>729.47900000000004</v>
      </c>
      <c r="F461" s="32">
        <v>1150</v>
      </c>
      <c r="G461" s="32">
        <v>100</v>
      </c>
      <c r="H461" s="40">
        <v>600</v>
      </c>
      <c r="I461" s="32">
        <v>695</v>
      </c>
      <c r="J461" s="32">
        <v>50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ht="15.75">
      <c r="A462" s="13">
        <v>55943</v>
      </c>
      <c r="B462" s="41">
        <v>28</v>
      </c>
      <c r="C462" s="32">
        <v>122.58</v>
      </c>
      <c r="D462" s="32">
        <v>297.94099999999997</v>
      </c>
      <c r="E462" s="38">
        <v>729.47900000000004</v>
      </c>
      <c r="F462" s="32">
        <v>1150</v>
      </c>
      <c r="G462" s="32">
        <v>100</v>
      </c>
      <c r="H462" s="40">
        <v>600</v>
      </c>
      <c r="I462" s="32">
        <v>695</v>
      </c>
      <c r="J462" s="32">
        <v>50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ht="15.75">
      <c r="A463" s="13">
        <v>55974</v>
      </c>
      <c r="B463" s="41">
        <v>31</v>
      </c>
      <c r="C463" s="32">
        <v>122.58</v>
      </c>
      <c r="D463" s="32">
        <v>297.94099999999997</v>
      </c>
      <c r="E463" s="38">
        <v>729.47900000000004</v>
      </c>
      <c r="F463" s="32">
        <v>1150</v>
      </c>
      <c r="G463" s="32">
        <v>100</v>
      </c>
      <c r="H463" s="40">
        <v>600</v>
      </c>
      <c r="I463" s="32">
        <v>695</v>
      </c>
      <c r="J463" s="32">
        <v>50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ht="15.75">
      <c r="A464" s="13">
        <v>56004</v>
      </c>
      <c r="B464" s="41">
        <v>30</v>
      </c>
      <c r="C464" s="32">
        <v>141.29300000000001</v>
      </c>
      <c r="D464" s="32">
        <v>267.99299999999999</v>
      </c>
      <c r="E464" s="38">
        <v>829.71400000000006</v>
      </c>
      <c r="F464" s="32">
        <v>1239</v>
      </c>
      <c r="G464" s="32">
        <v>100</v>
      </c>
      <c r="H464" s="40">
        <v>600</v>
      </c>
      <c r="I464" s="32">
        <v>695</v>
      </c>
      <c r="J464" s="32">
        <v>50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20" ht="15.75">
      <c r="A465" s="13">
        <v>56035</v>
      </c>
      <c r="B465" s="41">
        <v>31</v>
      </c>
      <c r="C465" s="32">
        <v>194.20500000000001</v>
      </c>
      <c r="D465" s="32">
        <v>267.46600000000001</v>
      </c>
      <c r="E465" s="38">
        <v>812.32899999999995</v>
      </c>
      <c r="F465" s="32">
        <v>1274</v>
      </c>
      <c r="G465" s="32">
        <v>75</v>
      </c>
      <c r="H465" s="40">
        <v>600</v>
      </c>
      <c r="I465" s="32">
        <v>695</v>
      </c>
      <c r="J465" s="32">
        <v>50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</row>
    <row r="466" spans="1:20" ht="15.75">
      <c r="A466" s="13">
        <v>56065</v>
      </c>
      <c r="B466" s="41">
        <v>30</v>
      </c>
      <c r="C466" s="32">
        <v>194.20500000000001</v>
      </c>
      <c r="D466" s="32">
        <v>267.46600000000001</v>
      </c>
      <c r="E466" s="38">
        <v>812.32899999999995</v>
      </c>
      <c r="F466" s="32">
        <v>1274</v>
      </c>
      <c r="G466" s="32">
        <v>50</v>
      </c>
      <c r="H466" s="40">
        <v>600</v>
      </c>
      <c r="I466" s="32">
        <v>695</v>
      </c>
      <c r="J466" s="32">
        <v>50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</row>
    <row r="467" spans="1:20" ht="15.75">
      <c r="A467" s="13">
        <v>56096</v>
      </c>
      <c r="B467" s="41">
        <v>31</v>
      </c>
      <c r="C467" s="32">
        <v>194.20500000000001</v>
      </c>
      <c r="D467" s="32">
        <v>267.46600000000001</v>
      </c>
      <c r="E467" s="38">
        <v>812.32899999999995</v>
      </c>
      <c r="F467" s="32">
        <v>1274</v>
      </c>
      <c r="G467" s="32">
        <v>50</v>
      </c>
      <c r="H467" s="40">
        <v>600</v>
      </c>
      <c r="I467" s="32">
        <v>695</v>
      </c>
      <c r="J467" s="32">
        <v>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</row>
    <row r="468" spans="1:20" ht="15.75">
      <c r="A468" s="13">
        <v>56127</v>
      </c>
      <c r="B468" s="41">
        <v>31</v>
      </c>
      <c r="C468" s="32">
        <v>194.20500000000001</v>
      </c>
      <c r="D468" s="32">
        <v>267.46600000000001</v>
      </c>
      <c r="E468" s="38">
        <v>812.32899999999995</v>
      </c>
      <c r="F468" s="32">
        <v>1274</v>
      </c>
      <c r="G468" s="32">
        <v>50</v>
      </c>
      <c r="H468" s="40">
        <v>600</v>
      </c>
      <c r="I468" s="32">
        <v>695</v>
      </c>
      <c r="J468" s="32">
        <v>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</row>
    <row r="469" spans="1:20" ht="15.75">
      <c r="A469" s="13">
        <v>56157</v>
      </c>
      <c r="B469" s="41">
        <v>30</v>
      </c>
      <c r="C469" s="32">
        <v>194.20500000000001</v>
      </c>
      <c r="D469" s="32">
        <v>267.46600000000001</v>
      </c>
      <c r="E469" s="38">
        <v>812.32899999999995</v>
      </c>
      <c r="F469" s="32">
        <v>1274</v>
      </c>
      <c r="G469" s="32">
        <v>50</v>
      </c>
      <c r="H469" s="40">
        <v>600</v>
      </c>
      <c r="I469" s="32">
        <v>695</v>
      </c>
      <c r="J469" s="32">
        <v>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</row>
    <row r="470" spans="1:20" ht="15.75">
      <c r="A470" s="13">
        <v>56188</v>
      </c>
      <c r="B470" s="41">
        <v>31</v>
      </c>
      <c r="C470" s="32">
        <v>131.881</v>
      </c>
      <c r="D470" s="32">
        <v>277.16699999999997</v>
      </c>
      <c r="E470" s="38">
        <v>829.952</v>
      </c>
      <c r="F470" s="32">
        <v>1239</v>
      </c>
      <c r="G470" s="32">
        <v>75</v>
      </c>
      <c r="H470" s="40">
        <v>600</v>
      </c>
      <c r="I470" s="32">
        <v>695</v>
      </c>
      <c r="J470" s="32">
        <v>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</row>
    <row r="471" spans="1:20" ht="15.75">
      <c r="A471" s="13">
        <v>56218</v>
      </c>
      <c r="B471" s="41">
        <v>30</v>
      </c>
      <c r="C471" s="32">
        <v>122.58</v>
      </c>
      <c r="D471" s="32">
        <v>297.94099999999997</v>
      </c>
      <c r="E471" s="38">
        <v>729.47900000000004</v>
      </c>
      <c r="F471" s="32">
        <v>1150</v>
      </c>
      <c r="G471" s="32">
        <v>100</v>
      </c>
      <c r="H471" s="40">
        <v>600</v>
      </c>
      <c r="I471" s="32">
        <v>695</v>
      </c>
      <c r="J471" s="32">
        <v>50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</row>
    <row r="472" spans="1:20" ht="15.75">
      <c r="A472" s="13">
        <v>56249</v>
      </c>
      <c r="B472" s="41">
        <v>31</v>
      </c>
      <c r="C472" s="32">
        <v>122.58</v>
      </c>
      <c r="D472" s="32">
        <v>297.94099999999997</v>
      </c>
      <c r="E472" s="38">
        <v>729.47900000000004</v>
      </c>
      <c r="F472" s="32">
        <v>1150</v>
      </c>
      <c r="G472" s="32">
        <v>100</v>
      </c>
      <c r="H472" s="40">
        <v>600</v>
      </c>
      <c r="I472" s="32">
        <v>695</v>
      </c>
      <c r="J472" s="32">
        <v>50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</row>
    <row r="473" spans="1:20" ht="15.75">
      <c r="A473" s="13">
        <v>56280</v>
      </c>
      <c r="B473" s="41">
        <v>31</v>
      </c>
      <c r="C473" s="32">
        <v>122.58</v>
      </c>
      <c r="D473" s="32">
        <v>297.94099999999997</v>
      </c>
      <c r="E473" s="38">
        <v>729.47900000000004</v>
      </c>
      <c r="F473" s="32">
        <v>1150</v>
      </c>
      <c r="G473" s="32">
        <v>100</v>
      </c>
      <c r="H473" s="40">
        <v>600</v>
      </c>
      <c r="I473" s="32">
        <v>695</v>
      </c>
      <c r="J473" s="32">
        <v>50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</row>
    <row r="474" spans="1:20" ht="15.75">
      <c r="A474" s="13">
        <v>56308</v>
      </c>
      <c r="B474" s="41">
        <v>28</v>
      </c>
      <c r="C474" s="32">
        <v>122.58</v>
      </c>
      <c r="D474" s="32">
        <v>297.94099999999997</v>
      </c>
      <c r="E474" s="38">
        <v>729.47900000000004</v>
      </c>
      <c r="F474" s="32">
        <v>1150</v>
      </c>
      <c r="G474" s="32">
        <v>100</v>
      </c>
      <c r="H474" s="40">
        <v>600</v>
      </c>
      <c r="I474" s="32">
        <v>695</v>
      </c>
      <c r="J474" s="32">
        <v>50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</row>
    <row r="475" spans="1:20" ht="15.75">
      <c r="A475" s="13">
        <v>56339</v>
      </c>
      <c r="B475" s="41">
        <v>31</v>
      </c>
      <c r="C475" s="32">
        <v>122.58</v>
      </c>
      <c r="D475" s="32">
        <v>297.94099999999997</v>
      </c>
      <c r="E475" s="38">
        <v>729.47900000000004</v>
      </c>
      <c r="F475" s="32">
        <v>1150</v>
      </c>
      <c r="G475" s="32">
        <v>100</v>
      </c>
      <c r="H475" s="40">
        <v>600</v>
      </c>
      <c r="I475" s="32">
        <v>695</v>
      </c>
      <c r="J475" s="32">
        <v>50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</row>
    <row r="476" spans="1:20" ht="15.75">
      <c r="A476" s="13">
        <v>56369</v>
      </c>
      <c r="B476" s="41">
        <v>30</v>
      </c>
      <c r="C476" s="32">
        <v>141.29300000000001</v>
      </c>
      <c r="D476" s="32">
        <v>267.99299999999999</v>
      </c>
      <c r="E476" s="38">
        <v>829.71400000000006</v>
      </c>
      <c r="F476" s="32">
        <v>1239</v>
      </c>
      <c r="G476" s="32">
        <v>100</v>
      </c>
      <c r="H476" s="40">
        <v>600</v>
      </c>
      <c r="I476" s="32">
        <v>695</v>
      </c>
      <c r="J476" s="32">
        <v>50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</row>
    <row r="477" spans="1:20" ht="15.75">
      <c r="A477" s="13">
        <v>56400</v>
      </c>
      <c r="B477" s="41">
        <v>31</v>
      </c>
      <c r="C477" s="32">
        <v>194.20500000000001</v>
      </c>
      <c r="D477" s="32">
        <v>267.46600000000001</v>
      </c>
      <c r="E477" s="38">
        <v>812.32899999999995</v>
      </c>
      <c r="F477" s="32">
        <v>1274</v>
      </c>
      <c r="G477" s="32">
        <v>75</v>
      </c>
      <c r="H477" s="40">
        <v>600</v>
      </c>
      <c r="I477" s="32">
        <v>695</v>
      </c>
      <c r="J477" s="32">
        <v>50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</row>
    <row r="478" spans="1:20" ht="15.75">
      <c r="A478" s="13">
        <v>56430</v>
      </c>
      <c r="B478" s="41">
        <v>30</v>
      </c>
      <c r="C478" s="32">
        <v>194.20500000000001</v>
      </c>
      <c r="D478" s="32">
        <v>267.46600000000001</v>
      </c>
      <c r="E478" s="38">
        <v>812.32899999999995</v>
      </c>
      <c r="F478" s="32">
        <v>1274</v>
      </c>
      <c r="G478" s="32">
        <v>50</v>
      </c>
      <c r="H478" s="40">
        <v>600</v>
      </c>
      <c r="I478" s="32">
        <v>695</v>
      </c>
      <c r="J478" s="32">
        <v>50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</row>
    <row r="479" spans="1:20" ht="15.75">
      <c r="A479" s="13">
        <v>56461</v>
      </c>
      <c r="B479" s="41">
        <v>31</v>
      </c>
      <c r="C479" s="32">
        <v>194.20500000000001</v>
      </c>
      <c r="D479" s="32">
        <v>267.46600000000001</v>
      </c>
      <c r="E479" s="38">
        <v>812.32899999999995</v>
      </c>
      <c r="F479" s="32">
        <v>1274</v>
      </c>
      <c r="G479" s="32">
        <v>50</v>
      </c>
      <c r="H479" s="40">
        <v>600</v>
      </c>
      <c r="I479" s="32">
        <v>695</v>
      </c>
      <c r="J479" s="32">
        <v>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</row>
    <row r="480" spans="1:20" ht="15.75">
      <c r="A480" s="13">
        <v>56492</v>
      </c>
      <c r="B480" s="41">
        <v>31</v>
      </c>
      <c r="C480" s="32">
        <v>194.20500000000001</v>
      </c>
      <c r="D480" s="32">
        <v>267.46600000000001</v>
      </c>
      <c r="E480" s="38">
        <v>812.32899999999995</v>
      </c>
      <c r="F480" s="32">
        <v>1274</v>
      </c>
      <c r="G480" s="32">
        <v>50</v>
      </c>
      <c r="H480" s="40">
        <v>600</v>
      </c>
      <c r="I480" s="32">
        <v>695</v>
      </c>
      <c r="J480" s="32">
        <v>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</row>
    <row r="481" spans="1:20" ht="15.75">
      <c r="A481" s="13">
        <v>56522</v>
      </c>
      <c r="B481" s="41">
        <v>30</v>
      </c>
      <c r="C481" s="32">
        <v>194.20500000000001</v>
      </c>
      <c r="D481" s="32">
        <v>267.46600000000001</v>
      </c>
      <c r="E481" s="38">
        <v>812.32899999999995</v>
      </c>
      <c r="F481" s="32">
        <v>1274</v>
      </c>
      <c r="G481" s="32">
        <v>50</v>
      </c>
      <c r="H481" s="40">
        <v>600</v>
      </c>
      <c r="I481" s="32">
        <v>695</v>
      </c>
      <c r="J481" s="32">
        <v>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</row>
    <row r="482" spans="1:20" ht="15.75">
      <c r="A482" s="13">
        <v>56553</v>
      </c>
      <c r="B482" s="41">
        <v>31</v>
      </c>
      <c r="C482" s="32">
        <v>131.881</v>
      </c>
      <c r="D482" s="32">
        <v>277.16699999999997</v>
      </c>
      <c r="E482" s="38">
        <v>829.952</v>
      </c>
      <c r="F482" s="32">
        <v>1239</v>
      </c>
      <c r="G482" s="32">
        <v>75</v>
      </c>
      <c r="H482" s="40">
        <v>600</v>
      </c>
      <c r="I482" s="32">
        <v>695</v>
      </c>
      <c r="J482" s="32">
        <v>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</row>
    <row r="483" spans="1:20" ht="15.75">
      <c r="A483" s="13">
        <v>56583</v>
      </c>
      <c r="B483" s="41">
        <v>30</v>
      </c>
      <c r="C483" s="32">
        <v>122.58</v>
      </c>
      <c r="D483" s="32">
        <v>297.94099999999997</v>
      </c>
      <c r="E483" s="38">
        <v>729.47900000000004</v>
      </c>
      <c r="F483" s="32">
        <v>1150</v>
      </c>
      <c r="G483" s="32">
        <v>100</v>
      </c>
      <c r="H483" s="40">
        <v>600</v>
      </c>
      <c r="I483" s="32">
        <v>695</v>
      </c>
      <c r="J483" s="32">
        <v>50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</row>
    <row r="484" spans="1:20" ht="15.75">
      <c r="A484" s="13">
        <v>56614</v>
      </c>
      <c r="B484" s="41">
        <v>31</v>
      </c>
      <c r="C484" s="32">
        <v>122.58</v>
      </c>
      <c r="D484" s="32">
        <v>297.94099999999997</v>
      </c>
      <c r="E484" s="38">
        <v>729.47900000000004</v>
      </c>
      <c r="F484" s="32">
        <v>1150</v>
      </c>
      <c r="G484" s="32">
        <v>100</v>
      </c>
      <c r="H484" s="40">
        <v>600</v>
      </c>
      <c r="I484" s="32">
        <v>695</v>
      </c>
      <c r="J484" s="32">
        <v>50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</row>
    <row r="485" spans="1:20" ht="15.75">
      <c r="A485" s="13">
        <v>56645</v>
      </c>
      <c r="B485" s="41">
        <v>31</v>
      </c>
      <c r="C485" s="32">
        <v>122.58</v>
      </c>
      <c r="D485" s="32">
        <v>297.94099999999997</v>
      </c>
      <c r="E485" s="38">
        <v>729.47900000000004</v>
      </c>
      <c r="F485" s="32">
        <v>1150</v>
      </c>
      <c r="G485" s="32">
        <v>100</v>
      </c>
      <c r="H485" s="40">
        <v>600</v>
      </c>
      <c r="I485" s="32">
        <v>695</v>
      </c>
      <c r="J485" s="32">
        <v>50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</row>
    <row r="486" spans="1:20" ht="15.75">
      <c r="A486" s="13">
        <v>56673</v>
      </c>
      <c r="B486" s="41">
        <v>28</v>
      </c>
      <c r="C486" s="32">
        <v>122.58</v>
      </c>
      <c r="D486" s="32">
        <v>297.94099999999997</v>
      </c>
      <c r="E486" s="38">
        <v>729.47900000000004</v>
      </c>
      <c r="F486" s="32">
        <v>1150</v>
      </c>
      <c r="G486" s="32">
        <v>100</v>
      </c>
      <c r="H486" s="40">
        <v>600</v>
      </c>
      <c r="I486" s="32">
        <v>695</v>
      </c>
      <c r="J486" s="32">
        <v>50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</row>
    <row r="487" spans="1:20" ht="15.75">
      <c r="A487" s="13">
        <v>56704</v>
      </c>
      <c r="B487" s="41">
        <v>31</v>
      </c>
      <c r="C487" s="32">
        <v>122.58</v>
      </c>
      <c r="D487" s="32">
        <v>297.94099999999997</v>
      </c>
      <c r="E487" s="38">
        <v>729.47900000000004</v>
      </c>
      <c r="F487" s="32">
        <v>1150</v>
      </c>
      <c r="G487" s="32">
        <v>100</v>
      </c>
      <c r="H487" s="40">
        <v>600</v>
      </c>
      <c r="I487" s="32">
        <v>695</v>
      </c>
      <c r="J487" s="32">
        <v>50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</row>
    <row r="488" spans="1:20" ht="15.75">
      <c r="A488" s="13">
        <v>56734</v>
      </c>
      <c r="B488" s="41">
        <v>30</v>
      </c>
      <c r="C488" s="32">
        <v>141.29300000000001</v>
      </c>
      <c r="D488" s="32">
        <v>267.99299999999999</v>
      </c>
      <c r="E488" s="38">
        <v>829.71400000000006</v>
      </c>
      <c r="F488" s="32">
        <v>1239</v>
      </c>
      <c r="G488" s="32">
        <v>100</v>
      </c>
      <c r="H488" s="40">
        <v>600</v>
      </c>
      <c r="I488" s="32">
        <v>695</v>
      </c>
      <c r="J488" s="32">
        <v>50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</row>
    <row r="489" spans="1:20" ht="15.75">
      <c r="A489" s="13">
        <v>56765</v>
      </c>
      <c r="B489" s="41">
        <v>31</v>
      </c>
      <c r="C489" s="32">
        <v>194.20500000000001</v>
      </c>
      <c r="D489" s="32">
        <v>267.46600000000001</v>
      </c>
      <c r="E489" s="38">
        <v>812.32899999999995</v>
      </c>
      <c r="F489" s="32">
        <v>1274</v>
      </c>
      <c r="G489" s="32">
        <v>75</v>
      </c>
      <c r="H489" s="40">
        <v>600</v>
      </c>
      <c r="I489" s="32">
        <v>695</v>
      </c>
      <c r="J489" s="32">
        <v>50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</row>
    <row r="490" spans="1:20" ht="15.75">
      <c r="A490" s="13">
        <v>56795</v>
      </c>
      <c r="B490" s="41">
        <v>30</v>
      </c>
      <c r="C490" s="32">
        <v>194.20500000000001</v>
      </c>
      <c r="D490" s="32">
        <v>267.46600000000001</v>
      </c>
      <c r="E490" s="38">
        <v>812.32899999999995</v>
      </c>
      <c r="F490" s="32">
        <v>1274</v>
      </c>
      <c r="G490" s="32">
        <v>50</v>
      </c>
      <c r="H490" s="40">
        <v>600</v>
      </c>
      <c r="I490" s="32">
        <v>695</v>
      </c>
      <c r="J490" s="32">
        <v>50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</row>
    <row r="491" spans="1:20" ht="15.75">
      <c r="A491" s="13">
        <v>56826</v>
      </c>
      <c r="B491" s="41">
        <v>31</v>
      </c>
      <c r="C491" s="32">
        <v>194.20500000000001</v>
      </c>
      <c r="D491" s="32">
        <v>267.46600000000001</v>
      </c>
      <c r="E491" s="38">
        <v>812.32899999999995</v>
      </c>
      <c r="F491" s="32">
        <v>1274</v>
      </c>
      <c r="G491" s="32">
        <v>50</v>
      </c>
      <c r="H491" s="40">
        <v>600</v>
      </c>
      <c r="I491" s="32">
        <v>695</v>
      </c>
      <c r="J491" s="32">
        <v>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</row>
    <row r="492" spans="1:20" ht="15.75">
      <c r="A492" s="13">
        <v>56857</v>
      </c>
      <c r="B492" s="41">
        <v>31</v>
      </c>
      <c r="C492" s="32">
        <v>194.20500000000001</v>
      </c>
      <c r="D492" s="32">
        <v>267.46600000000001</v>
      </c>
      <c r="E492" s="38">
        <v>812.32899999999995</v>
      </c>
      <c r="F492" s="32">
        <v>1274</v>
      </c>
      <c r="G492" s="32">
        <v>50</v>
      </c>
      <c r="H492" s="40">
        <v>600</v>
      </c>
      <c r="I492" s="32">
        <v>695</v>
      </c>
      <c r="J492" s="32">
        <v>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</row>
    <row r="493" spans="1:20" ht="15.75">
      <c r="A493" s="13">
        <v>56887</v>
      </c>
      <c r="B493" s="41">
        <v>30</v>
      </c>
      <c r="C493" s="32">
        <v>194.20500000000001</v>
      </c>
      <c r="D493" s="32">
        <v>267.46600000000001</v>
      </c>
      <c r="E493" s="38">
        <v>812.32899999999995</v>
      </c>
      <c r="F493" s="32">
        <v>1274</v>
      </c>
      <c r="G493" s="32">
        <v>50</v>
      </c>
      <c r="H493" s="40">
        <v>600</v>
      </c>
      <c r="I493" s="32">
        <v>695</v>
      </c>
      <c r="J493" s="32">
        <v>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</row>
    <row r="494" spans="1:20" ht="15.75">
      <c r="A494" s="13">
        <v>56918</v>
      </c>
      <c r="B494" s="41">
        <v>31</v>
      </c>
      <c r="C494" s="32">
        <v>131.881</v>
      </c>
      <c r="D494" s="32">
        <v>277.16699999999997</v>
      </c>
      <c r="E494" s="38">
        <v>829.952</v>
      </c>
      <c r="F494" s="32">
        <v>1239</v>
      </c>
      <c r="G494" s="32">
        <v>75</v>
      </c>
      <c r="H494" s="40">
        <v>600</v>
      </c>
      <c r="I494" s="32">
        <v>695</v>
      </c>
      <c r="J494" s="32">
        <v>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</row>
    <row r="495" spans="1:20" ht="15.75">
      <c r="A495" s="13">
        <v>56948</v>
      </c>
      <c r="B495" s="41">
        <v>30</v>
      </c>
      <c r="C495" s="32">
        <v>122.58</v>
      </c>
      <c r="D495" s="32">
        <v>297.94099999999997</v>
      </c>
      <c r="E495" s="38">
        <v>729.47900000000004</v>
      </c>
      <c r="F495" s="32">
        <v>1150</v>
      </c>
      <c r="G495" s="32">
        <v>100</v>
      </c>
      <c r="H495" s="40">
        <v>600</v>
      </c>
      <c r="I495" s="32">
        <v>695</v>
      </c>
      <c r="J495" s="32">
        <v>50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</row>
    <row r="496" spans="1:20" ht="15.75">
      <c r="A496" s="13">
        <v>56979</v>
      </c>
      <c r="B496" s="41">
        <v>31</v>
      </c>
      <c r="C496" s="32">
        <v>122.58</v>
      </c>
      <c r="D496" s="32">
        <v>297.94099999999997</v>
      </c>
      <c r="E496" s="38">
        <v>729.47900000000004</v>
      </c>
      <c r="F496" s="32">
        <v>1150</v>
      </c>
      <c r="G496" s="32">
        <v>100</v>
      </c>
      <c r="H496" s="40">
        <v>600</v>
      </c>
      <c r="I496" s="32">
        <v>695</v>
      </c>
      <c r="J496" s="32">
        <v>50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</row>
    <row r="497" spans="1:20" ht="15.75">
      <c r="A497" s="13">
        <v>57010</v>
      </c>
      <c r="B497" s="41">
        <v>31</v>
      </c>
      <c r="C497" s="32">
        <v>122.58</v>
      </c>
      <c r="D497" s="32">
        <v>297.94099999999997</v>
      </c>
      <c r="E497" s="38">
        <v>729.47900000000004</v>
      </c>
      <c r="F497" s="32">
        <v>1150</v>
      </c>
      <c r="G497" s="32">
        <v>100</v>
      </c>
      <c r="H497" s="40">
        <v>600</v>
      </c>
      <c r="I497" s="32">
        <v>695</v>
      </c>
      <c r="J497" s="32">
        <v>50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</row>
    <row r="498" spans="1:20" ht="15.75">
      <c r="A498" s="13">
        <v>57038</v>
      </c>
      <c r="B498" s="41">
        <v>29</v>
      </c>
      <c r="C498" s="32">
        <v>122.58</v>
      </c>
      <c r="D498" s="32">
        <v>297.94099999999997</v>
      </c>
      <c r="E498" s="38">
        <v>729.47900000000004</v>
      </c>
      <c r="F498" s="32">
        <v>1150</v>
      </c>
      <c r="G498" s="32">
        <v>100</v>
      </c>
      <c r="H498" s="40">
        <v>600</v>
      </c>
      <c r="I498" s="32">
        <v>695</v>
      </c>
      <c r="J498" s="32">
        <v>50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</row>
    <row r="499" spans="1:20" ht="15.75">
      <c r="A499" s="13">
        <v>57070</v>
      </c>
      <c r="B499" s="41">
        <v>31</v>
      </c>
      <c r="C499" s="32">
        <v>122.58</v>
      </c>
      <c r="D499" s="32">
        <v>297.94099999999997</v>
      </c>
      <c r="E499" s="38">
        <v>729.47900000000004</v>
      </c>
      <c r="F499" s="32">
        <v>1150</v>
      </c>
      <c r="G499" s="32">
        <v>100</v>
      </c>
      <c r="H499" s="40">
        <v>600</v>
      </c>
      <c r="I499" s="32">
        <v>695</v>
      </c>
      <c r="J499" s="32">
        <v>50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</row>
    <row r="500" spans="1:20" ht="15.75">
      <c r="A500" s="13">
        <v>57100</v>
      </c>
      <c r="B500" s="41">
        <v>30</v>
      </c>
      <c r="C500" s="32">
        <v>141.29300000000001</v>
      </c>
      <c r="D500" s="32">
        <v>267.99299999999999</v>
      </c>
      <c r="E500" s="38">
        <v>829.71400000000006</v>
      </c>
      <c r="F500" s="32">
        <v>1239</v>
      </c>
      <c r="G500" s="32">
        <v>100</v>
      </c>
      <c r="H500" s="40">
        <v>600</v>
      </c>
      <c r="I500" s="32">
        <v>695</v>
      </c>
      <c r="J500" s="32">
        <v>50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</row>
    <row r="501" spans="1:20" ht="15.75">
      <c r="A501" s="13">
        <v>57131</v>
      </c>
      <c r="B501" s="41">
        <v>31</v>
      </c>
      <c r="C501" s="32">
        <v>194.20500000000001</v>
      </c>
      <c r="D501" s="32">
        <v>267.46600000000001</v>
      </c>
      <c r="E501" s="38">
        <v>812.32899999999995</v>
      </c>
      <c r="F501" s="32">
        <v>1274</v>
      </c>
      <c r="G501" s="32">
        <v>75</v>
      </c>
      <c r="H501" s="40">
        <v>600</v>
      </c>
      <c r="I501" s="32">
        <v>695</v>
      </c>
      <c r="J501" s="32">
        <v>50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</row>
    <row r="502" spans="1:20" ht="15.75">
      <c r="A502" s="13">
        <v>57161</v>
      </c>
      <c r="B502" s="41">
        <v>30</v>
      </c>
      <c r="C502" s="32">
        <v>194.20500000000001</v>
      </c>
      <c r="D502" s="32">
        <v>267.46600000000001</v>
      </c>
      <c r="E502" s="38">
        <v>812.32899999999995</v>
      </c>
      <c r="F502" s="32">
        <v>1274</v>
      </c>
      <c r="G502" s="32">
        <v>50</v>
      </c>
      <c r="H502" s="40">
        <v>600</v>
      </c>
      <c r="I502" s="32">
        <v>695</v>
      </c>
      <c r="J502" s="32">
        <v>50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</row>
    <row r="503" spans="1:20" ht="15.75">
      <c r="A503" s="13">
        <v>57192</v>
      </c>
      <c r="B503" s="41">
        <v>31</v>
      </c>
      <c r="C503" s="32">
        <v>194.20500000000001</v>
      </c>
      <c r="D503" s="32">
        <v>267.46600000000001</v>
      </c>
      <c r="E503" s="38">
        <v>812.32899999999995</v>
      </c>
      <c r="F503" s="32">
        <v>1274</v>
      </c>
      <c r="G503" s="32">
        <v>50</v>
      </c>
      <c r="H503" s="40">
        <v>600</v>
      </c>
      <c r="I503" s="32">
        <v>695</v>
      </c>
      <c r="J503" s="32">
        <v>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</row>
    <row r="504" spans="1:20" ht="15.75">
      <c r="A504" s="13">
        <v>57223</v>
      </c>
      <c r="B504" s="41">
        <v>31</v>
      </c>
      <c r="C504" s="32">
        <v>194.20500000000001</v>
      </c>
      <c r="D504" s="32">
        <v>267.46600000000001</v>
      </c>
      <c r="E504" s="38">
        <v>812.32899999999995</v>
      </c>
      <c r="F504" s="32">
        <v>1274</v>
      </c>
      <c r="G504" s="32">
        <v>50</v>
      </c>
      <c r="H504" s="40">
        <v>600</v>
      </c>
      <c r="I504" s="32">
        <v>695</v>
      </c>
      <c r="J504" s="32">
        <v>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</row>
    <row r="505" spans="1:20" ht="15.75">
      <c r="A505" s="13">
        <v>57253</v>
      </c>
      <c r="B505" s="41">
        <v>30</v>
      </c>
      <c r="C505" s="32">
        <v>194.20500000000001</v>
      </c>
      <c r="D505" s="32">
        <v>267.46600000000001</v>
      </c>
      <c r="E505" s="38">
        <v>812.32899999999995</v>
      </c>
      <c r="F505" s="32">
        <v>1274</v>
      </c>
      <c r="G505" s="32">
        <v>50</v>
      </c>
      <c r="H505" s="40">
        <v>600</v>
      </c>
      <c r="I505" s="32">
        <v>695</v>
      </c>
      <c r="J505" s="32">
        <v>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</row>
    <row r="506" spans="1:20" ht="15.75">
      <c r="A506" s="13">
        <v>57284</v>
      </c>
      <c r="B506" s="41">
        <v>31</v>
      </c>
      <c r="C506" s="32">
        <v>131.881</v>
      </c>
      <c r="D506" s="32">
        <v>277.16699999999997</v>
      </c>
      <c r="E506" s="38">
        <v>829.952</v>
      </c>
      <c r="F506" s="32">
        <v>1239</v>
      </c>
      <c r="G506" s="32">
        <v>75</v>
      </c>
      <c r="H506" s="40">
        <v>600</v>
      </c>
      <c r="I506" s="32">
        <v>695</v>
      </c>
      <c r="J506" s="32">
        <v>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</row>
    <row r="507" spans="1:20" ht="15.75">
      <c r="A507" s="13">
        <v>57314</v>
      </c>
      <c r="B507" s="41">
        <v>30</v>
      </c>
      <c r="C507" s="32">
        <v>122.58</v>
      </c>
      <c r="D507" s="32">
        <v>297.94099999999997</v>
      </c>
      <c r="E507" s="38">
        <v>729.47900000000004</v>
      </c>
      <c r="F507" s="32">
        <v>1150</v>
      </c>
      <c r="G507" s="32">
        <v>100</v>
      </c>
      <c r="H507" s="40">
        <v>600</v>
      </c>
      <c r="I507" s="32">
        <v>695</v>
      </c>
      <c r="J507" s="32">
        <v>50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</row>
    <row r="508" spans="1:20" ht="15.75">
      <c r="A508" s="13">
        <v>57345</v>
      </c>
      <c r="B508" s="41">
        <v>31</v>
      </c>
      <c r="C508" s="32">
        <v>122.58</v>
      </c>
      <c r="D508" s="32">
        <v>297.94099999999997</v>
      </c>
      <c r="E508" s="38">
        <v>729.47900000000004</v>
      </c>
      <c r="F508" s="32">
        <v>1150</v>
      </c>
      <c r="G508" s="32">
        <v>100</v>
      </c>
      <c r="H508" s="40">
        <v>600</v>
      </c>
      <c r="I508" s="32">
        <v>695</v>
      </c>
      <c r="J508" s="32">
        <v>50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</row>
    <row r="509" spans="1:20" ht="15.75">
      <c r="A509" s="13">
        <v>57376</v>
      </c>
      <c r="B509" s="41">
        <v>31</v>
      </c>
      <c r="C509" s="32">
        <v>122.58</v>
      </c>
      <c r="D509" s="32">
        <v>297.94099999999997</v>
      </c>
      <c r="E509" s="38">
        <v>729.47900000000004</v>
      </c>
      <c r="F509" s="32">
        <v>1150</v>
      </c>
      <c r="G509" s="32">
        <v>100</v>
      </c>
      <c r="H509" s="40">
        <v>600</v>
      </c>
      <c r="I509" s="32">
        <v>695</v>
      </c>
      <c r="J509" s="32">
        <v>50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</row>
    <row r="510" spans="1:20" ht="15.75">
      <c r="A510" s="13">
        <v>57404</v>
      </c>
      <c r="B510" s="41">
        <v>28</v>
      </c>
      <c r="C510" s="32">
        <v>122.58</v>
      </c>
      <c r="D510" s="32">
        <v>297.94099999999997</v>
      </c>
      <c r="E510" s="38">
        <v>729.47900000000004</v>
      </c>
      <c r="F510" s="32">
        <v>1150</v>
      </c>
      <c r="G510" s="32">
        <v>100</v>
      </c>
      <c r="H510" s="40">
        <v>600</v>
      </c>
      <c r="I510" s="32">
        <v>695</v>
      </c>
      <c r="J510" s="32">
        <v>50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</row>
    <row r="511" spans="1:20" ht="15.75">
      <c r="A511" s="13">
        <v>57435</v>
      </c>
      <c r="B511" s="41">
        <v>31</v>
      </c>
      <c r="C511" s="32">
        <v>122.58</v>
      </c>
      <c r="D511" s="32">
        <v>297.94099999999997</v>
      </c>
      <c r="E511" s="38">
        <v>729.47900000000004</v>
      </c>
      <c r="F511" s="32">
        <v>1150</v>
      </c>
      <c r="G511" s="32">
        <v>100</v>
      </c>
      <c r="H511" s="40">
        <v>600</v>
      </c>
      <c r="I511" s="32">
        <v>695</v>
      </c>
      <c r="J511" s="32">
        <v>50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</row>
    <row r="512" spans="1:20" ht="15.75">
      <c r="A512" s="13">
        <v>57465</v>
      </c>
      <c r="B512" s="41">
        <v>30</v>
      </c>
      <c r="C512" s="32">
        <v>141.29300000000001</v>
      </c>
      <c r="D512" s="32">
        <v>267.99299999999999</v>
      </c>
      <c r="E512" s="38">
        <v>829.71400000000006</v>
      </c>
      <c r="F512" s="32">
        <v>1239</v>
      </c>
      <c r="G512" s="32">
        <v>100</v>
      </c>
      <c r="H512" s="40">
        <v>600</v>
      </c>
      <c r="I512" s="32">
        <v>695</v>
      </c>
      <c r="J512" s="32">
        <v>50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</row>
    <row r="513" spans="1:20" ht="15.75">
      <c r="A513" s="13">
        <v>57496</v>
      </c>
      <c r="B513" s="41">
        <v>31</v>
      </c>
      <c r="C513" s="32">
        <v>194.20500000000001</v>
      </c>
      <c r="D513" s="32">
        <v>267.46600000000001</v>
      </c>
      <c r="E513" s="38">
        <v>812.32899999999995</v>
      </c>
      <c r="F513" s="32">
        <v>1274</v>
      </c>
      <c r="G513" s="32">
        <v>75</v>
      </c>
      <c r="H513" s="40">
        <v>600</v>
      </c>
      <c r="I513" s="32">
        <v>695</v>
      </c>
      <c r="J513" s="32">
        <v>50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</row>
    <row r="514" spans="1:20" ht="15.75">
      <c r="A514" s="13">
        <v>57526</v>
      </c>
      <c r="B514" s="41">
        <v>30</v>
      </c>
      <c r="C514" s="32">
        <v>194.20500000000001</v>
      </c>
      <c r="D514" s="32">
        <v>267.46600000000001</v>
      </c>
      <c r="E514" s="38">
        <v>812.32899999999995</v>
      </c>
      <c r="F514" s="32">
        <v>1274</v>
      </c>
      <c r="G514" s="32">
        <v>50</v>
      </c>
      <c r="H514" s="40">
        <v>600</v>
      </c>
      <c r="I514" s="32">
        <v>695</v>
      </c>
      <c r="J514" s="32">
        <v>50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</row>
    <row r="515" spans="1:20" ht="15.75">
      <c r="A515" s="13">
        <v>57557</v>
      </c>
      <c r="B515" s="41">
        <v>31</v>
      </c>
      <c r="C515" s="32">
        <v>194.20500000000001</v>
      </c>
      <c r="D515" s="32">
        <v>267.46600000000001</v>
      </c>
      <c r="E515" s="38">
        <v>812.32899999999995</v>
      </c>
      <c r="F515" s="32">
        <v>1274</v>
      </c>
      <c r="G515" s="32">
        <v>50</v>
      </c>
      <c r="H515" s="40">
        <v>600</v>
      </c>
      <c r="I515" s="32">
        <v>695</v>
      </c>
      <c r="J515" s="32">
        <v>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</row>
    <row r="516" spans="1:20" ht="15.75">
      <c r="A516" s="13">
        <v>57588</v>
      </c>
      <c r="B516" s="41">
        <v>31</v>
      </c>
      <c r="C516" s="32">
        <v>194.20500000000001</v>
      </c>
      <c r="D516" s="32">
        <v>267.46600000000001</v>
      </c>
      <c r="E516" s="38">
        <v>812.32899999999995</v>
      </c>
      <c r="F516" s="32">
        <v>1274</v>
      </c>
      <c r="G516" s="32">
        <v>50</v>
      </c>
      <c r="H516" s="40">
        <v>600</v>
      </c>
      <c r="I516" s="32">
        <v>695</v>
      </c>
      <c r="J516" s="32">
        <v>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</row>
    <row r="517" spans="1:20" ht="15.75">
      <c r="A517" s="13">
        <v>57618</v>
      </c>
      <c r="B517" s="41">
        <v>30</v>
      </c>
      <c r="C517" s="32">
        <v>194.20500000000001</v>
      </c>
      <c r="D517" s="32">
        <v>267.46600000000001</v>
      </c>
      <c r="E517" s="38">
        <v>812.32899999999995</v>
      </c>
      <c r="F517" s="32">
        <v>1274</v>
      </c>
      <c r="G517" s="32">
        <v>50</v>
      </c>
      <c r="H517" s="40">
        <v>600</v>
      </c>
      <c r="I517" s="32">
        <v>695</v>
      </c>
      <c r="J517" s="32">
        <v>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</row>
    <row r="518" spans="1:20" ht="15.75">
      <c r="A518" s="13">
        <v>57649</v>
      </c>
      <c r="B518" s="41">
        <v>31</v>
      </c>
      <c r="C518" s="32">
        <v>131.881</v>
      </c>
      <c r="D518" s="32">
        <v>277.16699999999997</v>
      </c>
      <c r="E518" s="38">
        <v>829.952</v>
      </c>
      <c r="F518" s="32">
        <v>1239</v>
      </c>
      <c r="G518" s="32">
        <v>75</v>
      </c>
      <c r="H518" s="40">
        <v>600</v>
      </c>
      <c r="I518" s="32">
        <v>695</v>
      </c>
      <c r="J518" s="32">
        <v>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</row>
    <row r="519" spans="1:20" ht="15.75">
      <c r="A519" s="13">
        <v>57679</v>
      </c>
      <c r="B519" s="41">
        <v>30</v>
      </c>
      <c r="C519" s="32">
        <v>122.58</v>
      </c>
      <c r="D519" s="32">
        <v>297.94099999999997</v>
      </c>
      <c r="E519" s="38">
        <v>729.47900000000004</v>
      </c>
      <c r="F519" s="32">
        <v>1150</v>
      </c>
      <c r="G519" s="32">
        <v>100</v>
      </c>
      <c r="H519" s="40">
        <v>600</v>
      </c>
      <c r="I519" s="32">
        <v>695</v>
      </c>
      <c r="J519" s="32">
        <v>50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</row>
    <row r="520" spans="1:20" ht="15.75">
      <c r="A520" s="13">
        <v>57710</v>
      </c>
      <c r="B520" s="41">
        <v>31</v>
      </c>
      <c r="C520" s="32">
        <v>122.58</v>
      </c>
      <c r="D520" s="32">
        <v>297.94099999999997</v>
      </c>
      <c r="E520" s="38">
        <v>729.47900000000004</v>
      </c>
      <c r="F520" s="32">
        <v>1150</v>
      </c>
      <c r="G520" s="32">
        <v>100</v>
      </c>
      <c r="H520" s="40">
        <v>600</v>
      </c>
      <c r="I520" s="32">
        <v>695</v>
      </c>
      <c r="J520" s="32">
        <v>50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</row>
    <row r="521" spans="1:20" ht="15.75">
      <c r="A521" s="13">
        <v>57741</v>
      </c>
      <c r="B521" s="41">
        <v>31</v>
      </c>
      <c r="C521" s="32">
        <v>122.58</v>
      </c>
      <c r="D521" s="32">
        <v>297.94099999999997</v>
      </c>
      <c r="E521" s="38">
        <v>729.47900000000004</v>
      </c>
      <c r="F521" s="32">
        <v>1150</v>
      </c>
      <c r="G521" s="32">
        <v>100</v>
      </c>
      <c r="H521" s="40">
        <v>600</v>
      </c>
      <c r="I521" s="32">
        <v>695</v>
      </c>
      <c r="J521" s="32">
        <v>50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</row>
    <row r="522" spans="1:20" ht="15.75">
      <c r="A522" s="13">
        <v>57769</v>
      </c>
      <c r="B522" s="41">
        <v>28</v>
      </c>
      <c r="C522" s="32">
        <v>122.58</v>
      </c>
      <c r="D522" s="32">
        <v>297.94099999999997</v>
      </c>
      <c r="E522" s="38">
        <v>729.47900000000004</v>
      </c>
      <c r="F522" s="32">
        <v>1150</v>
      </c>
      <c r="G522" s="32">
        <v>100</v>
      </c>
      <c r="H522" s="40">
        <v>600</v>
      </c>
      <c r="I522" s="32">
        <v>695</v>
      </c>
      <c r="J522" s="32">
        <v>50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</row>
    <row r="523" spans="1:20" ht="15.75">
      <c r="A523" s="13">
        <v>57800</v>
      </c>
      <c r="B523" s="41">
        <v>31</v>
      </c>
      <c r="C523" s="32">
        <v>122.58</v>
      </c>
      <c r="D523" s="32">
        <v>297.94099999999997</v>
      </c>
      <c r="E523" s="38">
        <v>729.47900000000004</v>
      </c>
      <c r="F523" s="32">
        <v>1150</v>
      </c>
      <c r="G523" s="32">
        <v>100</v>
      </c>
      <c r="H523" s="40">
        <v>600</v>
      </c>
      <c r="I523" s="32">
        <v>695</v>
      </c>
      <c r="J523" s="32">
        <v>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</row>
    <row r="524" spans="1:20" ht="15.75">
      <c r="A524" s="13">
        <v>57830</v>
      </c>
      <c r="B524" s="41">
        <v>30</v>
      </c>
      <c r="C524" s="32">
        <v>141.29300000000001</v>
      </c>
      <c r="D524" s="32">
        <v>267.99299999999999</v>
      </c>
      <c r="E524" s="38">
        <v>829.71400000000006</v>
      </c>
      <c r="F524" s="32">
        <v>1239</v>
      </c>
      <c r="G524" s="32">
        <v>100</v>
      </c>
      <c r="H524" s="40">
        <v>600</v>
      </c>
      <c r="I524" s="32">
        <v>695</v>
      </c>
      <c r="J524" s="32">
        <v>50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</row>
    <row r="525" spans="1:20" ht="15.75">
      <c r="A525" s="13">
        <v>57861</v>
      </c>
      <c r="B525" s="41">
        <v>31</v>
      </c>
      <c r="C525" s="32">
        <v>194.20500000000001</v>
      </c>
      <c r="D525" s="32">
        <v>267.46600000000001</v>
      </c>
      <c r="E525" s="38">
        <v>812.32899999999995</v>
      </c>
      <c r="F525" s="32">
        <v>1274</v>
      </c>
      <c r="G525" s="32">
        <v>75</v>
      </c>
      <c r="H525" s="40">
        <v>600</v>
      </c>
      <c r="I525" s="32">
        <v>695</v>
      </c>
      <c r="J525" s="32">
        <v>50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</row>
    <row r="526" spans="1:20" ht="15.75">
      <c r="A526" s="13">
        <v>57891</v>
      </c>
      <c r="B526" s="41">
        <v>30</v>
      </c>
      <c r="C526" s="32">
        <v>194.20500000000001</v>
      </c>
      <c r="D526" s="32">
        <v>267.46600000000001</v>
      </c>
      <c r="E526" s="38">
        <v>812.32899999999995</v>
      </c>
      <c r="F526" s="32">
        <v>1274</v>
      </c>
      <c r="G526" s="32">
        <v>50</v>
      </c>
      <c r="H526" s="40">
        <v>600</v>
      </c>
      <c r="I526" s="32">
        <v>695</v>
      </c>
      <c r="J526" s="32">
        <v>50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</row>
    <row r="527" spans="1:20" ht="15.75">
      <c r="A527" s="13">
        <v>57922</v>
      </c>
      <c r="B527" s="41">
        <v>31</v>
      </c>
      <c r="C527" s="32">
        <v>194.20500000000001</v>
      </c>
      <c r="D527" s="32">
        <v>267.46600000000001</v>
      </c>
      <c r="E527" s="38">
        <v>812.32899999999995</v>
      </c>
      <c r="F527" s="32">
        <v>1274</v>
      </c>
      <c r="G527" s="32">
        <v>50</v>
      </c>
      <c r="H527" s="40">
        <v>600</v>
      </c>
      <c r="I527" s="32">
        <v>695</v>
      </c>
      <c r="J527" s="32">
        <v>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</row>
    <row r="528" spans="1:20" ht="15.75">
      <c r="A528" s="13">
        <v>57953</v>
      </c>
      <c r="B528" s="41">
        <v>31</v>
      </c>
      <c r="C528" s="32">
        <v>194.20500000000001</v>
      </c>
      <c r="D528" s="32">
        <v>267.46600000000001</v>
      </c>
      <c r="E528" s="38">
        <v>812.32899999999995</v>
      </c>
      <c r="F528" s="32">
        <v>1274</v>
      </c>
      <c r="G528" s="32">
        <v>50</v>
      </c>
      <c r="H528" s="40">
        <v>600</v>
      </c>
      <c r="I528" s="32">
        <v>695</v>
      </c>
      <c r="J528" s="32">
        <v>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</row>
    <row r="529" spans="1:20" ht="15.75">
      <c r="A529" s="13">
        <v>57983</v>
      </c>
      <c r="B529" s="41">
        <v>30</v>
      </c>
      <c r="C529" s="32">
        <v>194.20500000000001</v>
      </c>
      <c r="D529" s="32">
        <v>267.46600000000001</v>
      </c>
      <c r="E529" s="38">
        <v>812.32899999999995</v>
      </c>
      <c r="F529" s="32">
        <v>1274</v>
      </c>
      <c r="G529" s="32">
        <v>50</v>
      </c>
      <c r="H529" s="40">
        <v>600</v>
      </c>
      <c r="I529" s="32">
        <v>695</v>
      </c>
      <c r="J529" s="32">
        <v>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</row>
    <row r="530" spans="1:20" ht="15.75">
      <c r="A530" s="13">
        <v>58014</v>
      </c>
      <c r="B530" s="41">
        <v>31</v>
      </c>
      <c r="C530" s="32">
        <v>131.881</v>
      </c>
      <c r="D530" s="32">
        <v>277.16699999999997</v>
      </c>
      <c r="E530" s="38">
        <v>829.952</v>
      </c>
      <c r="F530" s="32">
        <v>1239</v>
      </c>
      <c r="G530" s="32">
        <v>75</v>
      </c>
      <c r="H530" s="40">
        <v>600</v>
      </c>
      <c r="I530" s="32">
        <v>695</v>
      </c>
      <c r="J530" s="32">
        <v>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</row>
    <row r="531" spans="1:20" ht="15.75">
      <c r="A531" s="13">
        <v>58044</v>
      </c>
      <c r="B531" s="41">
        <v>30</v>
      </c>
      <c r="C531" s="32">
        <v>122.58</v>
      </c>
      <c r="D531" s="32">
        <v>297.94099999999997</v>
      </c>
      <c r="E531" s="38">
        <v>729.47900000000004</v>
      </c>
      <c r="F531" s="32">
        <v>1150</v>
      </c>
      <c r="G531" s="32">
        <v>100</v>
      </c>
      <c r="H531" s="40">
        <v>600</v>
      </c>
      <c r="I531" s="32">
        <v>695</v>
      </c>
      <c r="J531" s="32">
        <v>50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</row>
    <row r="532" spans="1:20" ht="15.75">
      <c r="A532" s="13">
        <v>58075</v>
      </c>
      <c r="B532" s="41">
        <v>31</v>
      </c>
      <c r="C532" s="32">
        <v>122.58</v>
      </c>
      <c r="D532" s="32">
        <v>297.94099999999997</v>
      </c>
      <c r="E532" s="38">
        <v>729.47900000000004</v>
      </c>
      <c r="F532" s="32">
        <v>1150</v>
      </c>
      <c r="G532" s="32">
        <v>100</v>
      </c>
      <c r="H532" s="40">
        <v>600</v>
      </c>
      <c r="I532" s="32">
        <v>695</v>
      </c>
      <c r="J532" s="32">
        <v>50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</row>
    <row r="533" spans="1:20" ht="15.75">
      <c r="A533" s="13">
        <v>58106</v>
      </c>
      <c r="B533" s="41">
        <v>31</v>
      </c>
      <c r="C533" s="32">
        <v>122.58</v>
      </c>
      <c r="D533" s="32">
        <v>297.94099999999997</v>
      </c>
      <c r="E533" s="38">
        <v>729.47900000000004</v>
      </c>
      <c r="F533" s="32">
        <v>1150</v>
      </c>
      <c r="G533" s="32">
        <v>100</v>
      </c>
      <c r="H533" s="40">
        <v>600</v>
      </c>
      <c r="I533" s="32">
        <v>695</v>
      </c>
      <c r="J533" s="32">
        <v>50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</row>
    <row r="534" spans="1:20" ht="15.75">
      <c r="A534" s="13">
        <v>58134</v>
      </c>
      <c r="B534" s="41">
        <v>28</v>
      </c>
      <c r="C534" s="32">
        <v>122.58</v>
      </c>
      <c r="D534" s="32">
        <v>297.94099999999997</v>
      </c>
      <c r="E534" s="38">
        <v>729.47900000000004</v>
      </c>
      <c r="F534" s="32">
        <v>1150</v>
      </c>
      <c r="G534" s="32">
        <v>100</v>
      </c>
      <c r="H534" s="40">
        <v>600</v>
      </c>
      <c r="I534" s="32">
        <v>695</v>
      </c>
      <c r="J534" s="32">
        <v>50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</row>
    <row r="535" spans="1:20" ht="15.75">
      <c r="A535" s="13">
        <v>58165</v>
      </c>
      <c r="B535" s="41">
        <v>31</v>
      </c>
      <c r="C535" s="32">
        <v>122.58</v>
      </c>
      <c r="D535" s="32">
        <v>297.94099999999997</v>
      </c>
      <c r="E535" s="38">
        <v>729.47900000000004</v>
      </c>
      <c r="F535" s="32">
        <v>1150</v>
      </c>
      <c r="G535" s="32">
        <v>100</v>
      </c>
      <c r="H535" s="40">
        <v>600</v>
      </c>
      <c r="I535" s="32">
        <v>695</v>
      </c>
      <c r="J535" s="32">
        <v>50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</row>
    <row r="536" spans="1:20" ht="15.75">
      <c r="A536" s="13">
        <v>58195</v>
      </c>
      <c r="B536" s="41">
        <v>30</v>
      </c>
      <c r="C536" s="32">
        <v>141.29300000000001</v>
      </c>
      <c r="D536" s="32">
        <v>267.99299999999999</v>
      </c>
      <c r="E536" s="38">
        <v>829.71400000000006</v>
      </c>
      <c r="F536" s="32">
        <v>1239</v>
      </c>
      <c r="G536" s="32">
        <v>100</v>
      </c>
      <c r="H536" s="40">
        <v>600</v>
      </c>
      <c r="I536" s="32">
        <v>695</v>
      </c>
      <c r="J536" s="32">
        <v>50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</row>
    <row r="537" spans="1:20" ht="15.75">
      <c r="A537" s="13">
        <v>58226</v>
      </c>
      <c r="B537" s="41">
        <v>31</v>
      </c>
      <c r="C537" s="32">
        <v>194.20500000000001</v>
      </c>
      <c r="D537" s="32">
        <v>267.46600000000001</v>
      </c>
      <c r="E537" s="38">
        <v>812.32899999999995</v>
      </c>
      <c r="F537" s="32">
        <v>1274</v>
      </c>
      <c r="G537" s="32">
        <v>75</v>
      </c>
      <c r="H537" s="40">
        <v>600</v>
      </c>
      <c r="I537" s="32">
        <v>695</v>
      </c>
      <c r="J537" s="32">
        <v>50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</row>
    <row r="538" spans="1:20" ht="15.75">
      <c r="A538" s="13">
        <v>58256</v>
      </c>
      <c r="B538" s="41">
        <v>30</v>
      </c>
      <c r="C538" s="32">
        <v>194.20500000000001</v>
      </c>
      <c r="D538" s="32">
        <v>267.46600000000001</v>
      </c>
      <c r="E538" s="38">
        <v>812.32899999999995</v>
      </c>
      <c r="F538" s="32">
        <v>1274</v>
      </c>
      <c r="G538" s="32">
        <v>50</v>
      </c>
      <c r="H538" s="40">
        <v>600</v>
      </c>
      <c r="I538" s="32">
        <v>695</v>
      </c>
      <c r="J538" s="32">
        <v>50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</row>
    <row r="539" spans="1:20" ht="15.75">
      <c r="A539" s="13">
        <v>58287</v>
      </c>
      <c r="B539" s="41">
        <v>31</v>
      </c>
      <c r="C539" s="32">
        <v>194.20500000000001</v>
      </c>
      <c r="D539" s="32">
        <v>267.46600000000001</v>
      </c>
      <c r="E539" s="38">
        <v>812.32899999999995</v>
      </c>
      <c r="F539" s="32">
        <v>1274</v>
      </c>
      <c r="G539" s="32">
        <v>50</v>
      </c>
      <c r="H539" s="40">
        <v>600</v>
      </c>
      <c r="I539" s="32">
        <v>695</v>
      </c>
      <c r="J539" s="32">
        <v>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</row>
    <row r="540" spans="1:20" ht="15.75">
      <c r="A540" s="13">
        <v>58318</v>
      </c>
      <c r="B540" s="41">
        <v>31</v>
      </c>
      <c r="C540" s="32">
        <v>194.20500000000001</v>
      </c>
      <c r="D540" s="32">
        <v>267.46600000000001</v>
      </c>
      <c r="E540" s="38">
        <v>812.32899999999995</v>
      </c>
      <c r="F540" s="32">
        <v>1274</v>
      </c>
      <c r="G540" s="32">
        <v>50</v>
      </c>
      <c r="H540" s="40">
        <v>600</v>
      </c>
      <c r="I540" s="32">
        <v>695</v>
      </c>
      <c r="J540" s="32">
        <v>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</row>
    <row r="541" spans="1:20" ht="15.75">
      <c r="A541" s="13">
        <v>58348</v>
      </c>
      <c r="B541" s="41">
        <v>30</v>
      </c>
      <c r="C541" s="32">
        <v>194.20500000000001</v>
      </c>
      <c r="D541" s="32">
        <v>267.46600000000001</v>
      </c>
      <c r="E541" s="38">
        <v>812.32899999999995</v>
      </c>
      <c r="F541" s="32">
        <v>1274</v>
      </c>
      <c r="G541" s="32">
        <v>50</v>
      </c>
      <c r="H541" s="40">
        <v>600</v>
      </c>
      <c r="I541" s="32">
        <v>695</v>
      </c>
      <c r="J541" s="32">
        <v>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</row>
    <row r="542" spans="1:20" ht="15.75">
      <c r="A542" s="13">
        <v>58379</v>
      </c>
      <c r="B542" s="41">
        <v>31</v>
      </c>
      <c r="C542" s="32">
        <v>131.881</v>
      </c>
      <c r="D542" s="32">
        <v>277.16699999999997</v>
      </c>
      <c r="E542" s="38">
        <v>829.952</v>
      </c>
      <c r="F542" s="32">
        <v>1239</v>
      </c>
      <c r="G542" s="32">
        <v>75</v>
      </c>
      <c r="H542" s="40">
        <v>600</v>
      </c>
      <c r="I542" s="32">
        <v>695</v>
      </c>
      <c r="J542" s="32">
        <v>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</row>
    <row r="543" spans="1:20" ht="15.75">
      <c r="A543" s="13">
        <v>58409</v>
      </c>
      <c r="B543" s="41">
        <v>30</v>
      </c>
      <c r="C543" s="32">
        <v>122.58</v>
      </c>
      <c r="D543" s="32">
        <v>297.94099999999997</v>
      </c>
      <c r="E543" s="38">
        <v>729.47900000000004</v>
      </c>
      <c r="F543" s="32">
        <v>1150</v>
      </c>
      <c r="G543" s="32">
        <v>100</v>
      </c>
      <c r="H543" s="40">
        <v>600</v>
      </c>
      <c r="I543" s="32">
        <v>695</v>
      </c>
      <c r="J543" s="32">
        <v>50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</row>
    <row r="544" spans="1:20" ht="15.75">
      <c r="A544" s="13">
        <v>58440</v>
      </c>
      <c r="B544" s="41">
        <v>31</v>
      </c>
      <c r="C544" s="32">
        <v>122.58</v>
      </c>
      <c r="D544" s="32">
        <v>297.94099999999997</v>
      </c>
      <c r="E544" s="38">
        <v>729.47900000000004</v>
      </c>
      <c r="F544" s="32">
        <v>1150</v>
      </c>
      <c r="G544" s="32">
        <v>100</v>
      </c>
      <c r="H544" s="40">
        <v>600</v>
      </c>
      <c r="I544" s="32">
        <v>695</v>
      </c>
      <c r="J544" s="32">
        <v>50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</row>
    <row r="545" spans="1:20" ht="15.75">
      <c r="A545" s="13">
        <v>58471</v>
      </c>
      <c r="B545" s="41">
        <v>31</v>
      </c>
      <c r="C545" s="32">
        <v>122.58</v>
      </c>
      <c r="D545" s="32">
        <v>297.94099999999997</v>
      </c>
      <c r="E545" s="38">
        <v>729.47900000000004</v>
      </c>
      <c r="F545" s="32">
        <v>1150</v>
      </c>
      <c r="G545" s="32">
        <v>100</v>
      </c>
      <c r="H545" s="40">
        <v>600</v>
      </c>
      <c r="I545" s="32">
        <v>695</v>
      </c>
      <c r="J545" s="32">
        <v>50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</row>
    <row r="546" spans="1:20" ht="15.75">
      <c r="A546" s="13">
        <v>58499</v>
      </c>
      <c r="B546" s="41">
        <v>29</v>
      </c>
      <c r="C546" s="32">
        <v>122.58</v>
      </c>
      <c r="D546" s="32">
        <v>297.94099999999997</v>
      </c>
      <c r="E546" s="38">
        <v>729.47900000000004</v>
      </c>
      <c r="F546" s="32">
        <v>1150</v>
      </c>
      <c r="G546" s="32">
        <v>100</v>
      </c>
      <c r="H546" s="40">
        <v>600</v>
      </c>
      <c r="I546" s="32">
        <v>695</v>
      </c>
      <c r="J546" s="32">
        <v>50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</row>
    <row r="547" spans="1:20" ht="15.75">
      <c r="A547" s="13">
        <v>58531</v>
      </c>
      <c r="B547" s="41">
        <v>31</v>
      </c>
      <c r="C547" s="32">
        <v>122.58</v>
      </c>
      <c r="D547" s="32">
        <v>297.94099999999997</v>
      </c>
      <c r="E547" s="38">
        <v>729.47900000000004</v>
      </c>
      <c r="F547" s="32">
        <v>1150</v>
      </c>
      <c r="G547" s="32">
        <v>100</v>
      </c>
      <c r="H547" s="40">
        <v>600</v>
      </c>
      <c r="I547" s="32">
        <v>695</v>
      </c>
      <c r="J547" s="32">
        <v>50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</row>
    <row r="548" spans="1:20" ht="15.75">
      <c r="A548" s="13">
        <v>58561</v>
      </c>
      <c r="B548" s="41">
        <v>30</v>
      </c>
      <c r="C548" s="32">
        <v>141.29300000000001</v>
      </c>
      <c r="D548" s="32">
        <v>267.99299999999999</v>
      </c>
      <c r="E548" s="38">
        <v>829.71400000000006</v>
      </c>
      <c r="F548" s="32">
        <v>1239</v>
      </c>
      <c r="G548" s="32">
        <v>100</v>
      </c>
      <c r="H548" s="40">
        <v>600</v>
      </c>
      <c r="I548" s="32">
        <v>695</v>
      </c>
      <c r="J548" s="32">
        <v>50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</row>
    <row r="549" spans="1:20" ht="15.75">
      <c r="A549" s="13">
        <v>58592</v>
      </c>
      <c r="B549" s="41">
        <v>31</v>
      </c>
      <c r="C549" s="32">
        <v>194.20500000000001</v>
      </c>
      <c r="D549" s="32">
        <v>267.46600000000001</v>
      </c>
      <c r="E549" s="38">
        <v>812.32899999999995</v>
      </c>
      <c r="F549" s="32">
        <v>1274</v>
      </c>
      <c r="G549" s="32">
        <v>75</v>
      </c>
      <c r="H549" s="40">
        <v>600</v>
      </c>
      <c r="I549" s="32">
        <v>695</v>
      </c>
      <c r="J549" s="32">
        <v>50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</row>
    <row r="550" spans="1:20" ht="15.75">
      <c r="A550" s="13">
        <v>58622</v>
      </c>
      <c r="B550" s="41">
        <v>30</v>
      </c>
      <c r="C550" s="32">
        <v>194.20500000000001</v>
      </c>
      <c r="D550" s="32">
        <v>267.46600000000001</v>
      </c>
      <c r="E550" s="38">
        <v>812.32899999999995</v>
      </c>
      <c r="F550" s="32">
        <v>1274</v>
      </c>
      <c r="G550" s="32">
        <v>50</v>
      </c>
      <c r="H550" s="40">
        <v>600</v>
      </c>
      <c r="I550" s="32">
        <v>695</v>
      </c>
      <c r="J550" s="32">
        <v>50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</row>
    <row r="551" spans="1:20" ht="15.75">
      <c r="A551" s="13">
        <v>58653</v>
      </c>
      <c r="B551" s="41">
        <v>31</v>
      </c>
      <c r="C551" s="32">
        <v>194.20500000000001</v>
      </c>
      <c r="D551" s="32">
        <v>267.46600000000001</v>
      </c>
      <c r="E551" s="38">
        <v>812.32899999999995</v>
      </c>
      <c r="F551" s="32">
        <v>1274</v>
      </c>
      <c r="G551" s="32">
        <v>50</v>
      </c>
      <c r="H551" s="40">
        <v>600</v>
      </c>
      <c r="I551" s="32">
        <v>695</v>
      </c>
      <c r="J551" s="32">
        <v>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</row>
    <row r="552" spans="1:20" ht="15.75">
      <c r="A552" s="13">
        <v>58684</v>
      </c>
      <c r="B552" s="41">
        <v>31</v>
      </c>
      <c r="C552" s="32">
        <v>194.20500000000001</v>
      </c>
      <c r="D552" s="32">
        <v>267.46600000000001</v>
      </c>
      <c r="E552" s="38">
        <v>812.32899999999995</v>
      </c>
      <c r="F552" s="32">
        <v>1274</v>
      </c>
      <c r="G552" s="32">
        <v>50</v>
      </c>
      <c r="H552" s="40">
        <v>600</v>
      </c>
      <c r="I552" s="32">
        <v>695</v>
      </c>
      <c r="J552" s="32">
        <v>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</row>
    <row r="553" spans="1:20" ht="15.75">
      <c r="A553" s="13">
        <v>58714</v>
      </c>
      <c r="B553" s="41">
        <v>30</v>
      </c>
      <c r="C553" s="32">
        <v>194.20500000000001</v>
      </c>
      <c r="D553" s="32">
        <v>267.46600000000001</v>
      </c>
      <c r="E553" s="38">
        <v>812.32899999999995</v>
      </c>
      <c r="F553" s="32">
        <v>1274</v>
      </c>
      <c r="G553" s="32">
        <v>50</v>
      </c>
      <c r="H553" s="40">
        <v>600</v>
      </c>
      <c r="I553" s="32">
        <v>695</v>
      </c>
      <c r="J553" s="32">
        <v>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</row>
    <row r="554" spans="1:20" ht="15.75">
      <c r="A554" s="13">
        <v>58745</v>
      </c>
      <c r="B554" s="41">
        <v>31</v>
      </c>
      <c r="C554" s="32">
        <v>131.881</v>
      </c>
      <c r="D554" s="32">
        <v>277.16699999999997</v>
      </c>
      <c r="E554" s="38">
        <v>829.952</v>
      </c>
      <c r="F554" s="32">
        <v>1239</v>
      </c>
      <c r="G554" s="32">
        <v>75</v>
      </c>
      <c r="H554" s="40">
        <v>600</v>
      </c>
      <c r="I554" s="32">
        <v>695</v>
      </c>
      <c r="J554" s="32">
        <v>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</row>
    <row r="555" spans="1:20" ht="15.75">
      <c r="A555" s="13">
        <v>58775</v>
      </c>
      <c r="B555" s="41">
        <v>30</v>
      </c>
      <c r="C555" s="32">
        <v>122.58</v>
      </c>
      <c r="D555" s="32">
        <v>297.94099999999997</v>
      </c>
      <c r="E555" s="38">
        <v>729.47900000000004</v>
      </c>
      <c r="F555" s="32">
        <v>1150</v>
      </c>
      <c r="G555" s="32">
        <v>100</v>
      </c>
      <c r="H555" s="40">
        <v>600</v>
      </c>
      <c r="I555" s="32">
        <v>695</v>
      </c>
      <c r="J555" s="32">
        <v>50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</row>
    <row r="556" spans="1:20" ht="15.75">
      <c r="A556" s="13">
        <v>58806</v>
      </c>
      <c r="B556" s="41">
        <v>31</v>
      </c>
      <c r="C556" s="32">
        <v>122.58</v>
      </c>
      <c r="D556" s="32">
        <v>297.94099999999997</v>
      </c>
      <c r="E556" s="38">
        <v>729.47900000000004</v>
      </c>
      <c r="F556" s="32">
        <v>1150</v>
      </c>
      <c r="G556" s="32">
        <v>100</v>
      </c>
      <c r="H556" s="40">
        <v>600</v>
      </c>
      <c r="I556" s="32">
        <v>695</v>
      </c>
      <c r="J556" s="32">
        <v>50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</row>
    <row r="557" spans="1:20" ht="15.75">
      <c r="A557" s="13">
        <v>58837</v>
      </c>
      <c r="B557" s="41">
        <v>31</v>
      </c>
      <c r="C557" s="32">
        <v>122.58</v>
      </c>
      <c r="D557" s="32">
        <v>297.94099999999997</v>
      </c>
      <c r="E557" s="38">
        <v>729.47900000000004</v>
      </c>
      <c r="F557" s="32">
        <v>1150</v>
      </c>
      <c r="G557" s="32">
        <v>100</v>
      </c>
      <c r="H557" s="40">
        <v>600</v>
      </c>
      <c r="I557" s="32">
        <v>695</v>
      </c>
      <c r="J557" s="32">
        <v>50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</row>
    <row r="558" spans="1:20" ht="15.75">
      <c r="A558" s="13">
        <v>58865</v>
      </c>
      <c r="B558" s="41">
        <v>28</v>
      </c>
      <c r="C558" s="32">
        <v>122.58</v>
      </c>
      <c r="D558" s="32">
        <v>297.94099999999997</v>
      </c>
      <c r="E558" s="38">
        <v>729.47900000000004</v>
      </c>
      <c r="F558" s="32">
        <v>1150</v>
      </c>
      <c r="G558" s="32">
        <v>100</v>
      </c>
      <c r="H558" s="40">
        <v>600</v>
      </c>
      <c r="I558" s="32">
        <v>695</v>
      </c>
      <c r="J558" s="32">
        <v>50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</row>
    <row r="559" spans="1:20" ht="15.75">
      <c r="A559" s="13">
        <v>58893</v>
      </c>
      <c r="B559" s="41">
        <v>31</v>
      </c>
      <c r="C559" s="32">
        <v>122.58</v>
      </c>
      <c r="D559" s="32">
        <v>297.94099999999997</v>
      </c>
      <c r="E559" s="38">
        <v>729.47900000000004</v>
      </c>
      <c r="F559" s="32">
        <v>1150</v>
      </c>
      <c r="G559" s="32">
        <v>100</v>
      </c>
      <c r="H559" s="40">
        <v>600</v>
      </c>
      <c r="I559" s="32">
        <v>695</v>
      </c>
      <c r="J559" s="32">
        <v>50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</row>
    <row r="560" spans="1:20" ht="15.75">
      <c r="A560" s="13">
        <v>58926</v>
      </c>
      <c r="B560" s="41">
        <v>30</v>
      </c>
      <c r="C560" s="32">
        <v>141.29300000000001</v>
      </c>
      <c r="D560" s="32">
        <v>267.99299999999999</v>
      </c>
      <c r="E560" s="38">
        <v>829.71400000000006</v>
      </c>
      <c r="F560" s="32">
        <v>1239</v>
      </c>
      <c r="G560" s="32">
        <v>100</v>
      </c>
      <c r="H560" s="40">
        <v>600</v>
      </c>
      <c r="I560" s="32">
        <v>695</v>
      </c>
      <c r="J560" s="32">
        <v>50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</row>
    <row r="561" spans="1:20" ht="15.75">
      <c r="A561" s="13">
        <v>58957</v>
      </c>
      <c r="B561" s="41">
        <v>31</v>
      </c>
      <c r="C561" s="32">
        <v>194.20500000000001</v>
      </c>
      <c r="D561" s="32">
        <v>267.46600000000001</v>
      </c>
      <c r="E561" s="38">
        <v>812.32899999999995</v>
      </c>
      <c r="F561" s="32">
        <v>1274</v>
      </c>
      <c r="G561" s="32">
        <v>75</v>
      </c>
      <c r="H561" s="40">
        <v>600</v>
      </c>
      <c r="I561" s="32">
        <v>695</v>
      </c>
      <c r="J561" s="32">
        <v>50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</row>
    <row r="562" spans="1:20" ht="15.75">
      <c r="A562" s="13">
        <v>58987</v>
      </c>
      <c r="B562" s="41">
        <v>30</v>
      </c>
      <c r="C562" s="32">
        <v>194.20500000000001</v>
      </c>
      <c r="D562" s="32">
        <v>267.46600000000001</v>
      </c>
      <c r="E562" s="38">
        <v>812.32899999999995</v>
      </c>
      <c r="F562" s="32">
        <v>1274</v>
      </c>
      <c r="G562" s="32">
        <v>50</v>
      </c>
      <c r="H562" s="40">
        <v>600</v>
      </c>
      <c r="I562" s="32">
        <v>695</v>
      </c>
      <c r="J562" s="32">
        <v>50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</row>
    <row r="563" spans="1:20" ht="15.75">
      <c r="A563" s="13">
        <v>59018</v>
      </c>
      <c r="B563" s="41">
        <v>31</v>
      </c>
      <c r="C563" s="32">
        <v>194.20500000000001</v>
      </c>
      <c r="D563" s="32">
        <v>267.46600000000001</v>
      </c>
      <c r="E563" s="38">
        <v>812.32899999999995</v>
      </c>
      <c r="F563" s="32">
        <v>1274</v>
      </c>
      <c r="G563" s="32">
        <v>50</v>
      </c>
      <c r="H563" s="40">
        <v>600</v>
      </c>
      <c r="I563" s="32">
        <v>695</v>
      </c>
      <c r="J563" s="32">
        <v>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</row>
    <row r="564" spans="1:20" ht="15.75">
      <c r="A564" s="13">
        <v>59049</v>
      </c>
      <c r="B564" s="41">
        <v>31</v>
      </c>
      <c r="C564" s="32">
        <v>194.20500000000001</v>
      </c>
      <c r="D564" s="32">
        <v>267.46600000000001</v>
      </c>
      <c r="E564" s="38">
        <v>812.32899999999995</v>
      </c>
      <c r="F564" s="32">
        <v>1274</v>
      </c>
      <c r="G564" s="32">
        <v>50</v>
      </c>
      <c r="H564" s="40">
        <v>600</v>
      </c>
      <c r="I564" s="32">
        <v>695</v>
      </c>
      <c r="J564" s="32">
        <v>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</row>
    <row r="565" spans="1:20" ht="15.75">
      <c r="A565" s="13">
        <v>59079</v>
      </c>
      <c r="B565" s="41">
        <v>30</v>
      </c>
      <c r="C565" s="32">
        <v>194.20500000000001</v>
      </c>
      <c r="D565" s="32">
        <v>267.46600000000001</v>
      </c>
      <c r="E565" s="38">
        <v>812.32899999999995</v>
      </c>
      <c r="F565" s="32">
        <v>1274</v>
      </c>
      <c r="G565" s="32">
        <v>50</v>
      </c>
      <c r="H565" s="40">
        <v>600</v>
      </c>
      <c r="I565" s="32">
        <v>695</v>
      </c>
      <c r="J565" s="32">
        <v>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</row>
    <row r="566" spans="1:20" ht="15.75">
      <c r="A566" s="13">
        <v>59110</v>
      </c>
      <c r="B566" s="41">
        <v>31</v>
      </c>
      <c r="C566" s="32">
        <v>131.881</v>
      </c>
      <c r="D566" s="32">
        <v>277.16699999999997</v>
      </c>
      <c r="E566" s="38">
        <v>829.952</v>
      </c>
      <c r="F566" s="32">
        <v>1239</v>
      </c>
      <c r="G566" s="32">
        <v>75</v>
      </c>
      <c r="H566" s="40">
        <v>600</v>
      </c>
      <c r="I566" s="32">
        <v>695</v>
      </c>
      <c r="J566" s="32">
        <v>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</row>
    <row r="567" spans="1:20" ht="15.75">
      <c r="A567" s="13">
        <v>59140</v>
      </c>
      <c r="B567" s="41">
        <v>30</v>
      </c>
      <c r="C567" s="32">
        <v>122.58</v>
      </c>
      <c r="D567" s="32">
        <v>297.94099999999997</v>
      </c>
      <c r="E567" s="38">
        <v>729.47900000000004</v>
      </c>
      <c r="F567" s="32">
        <v>1150</v>
      </c>
      <c r="G567" s="32">
        <v>100</v>
      </c>
      <c r="H567" s="40">
        <v>600</v>
      </c>
      <c r="I567" s="32">
        <v>695</v>
      </c>
      <c r="J567" s="32">
        <v>50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</row>
    <row r="568" spans="1:20" ht="15.75">
      <c r="A568" s="13">
        <v>59171</v>
      </c>
      <c r="B568" s="41">
        <v>31</v>
      </c>
      <c r="C568" s="32">
        <v>122.58</v>
      </c>
      <c r="D568" s="32">
        <v>297.94099999999997</v>
      </c>
      <c r="E568" s="38">
        <v>729.47900000000004</v>
      </c>
      <c r="F568" s="32">
        <v>1150</v>
      </c>
      <c r="G568" s="32">
        <v>100</v>
      </c>
      <c r="H568" s="40">
        <v>600</v>
      </c>
      <c r="I568" s="32">
        <v>695</v>
      </c>
      <c r="J568" s="32">
        <v>50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</row>
    <row r="569" spans="1:20" ht="15.75">
      <c r="A569" s="13">
        <v>59202</v>
      </c>
      <c r="B569" s="41">
        <f t="shared" ref="B569:B632" si="0">EOMONTH(A569,0)-EOMONTH(A569,-1)</f>
        <v>31</v>
      </c>
      <c r="C569" s="32">
        <v>122.58</v>
      </c>
      <c r="D569" s="32">
        <v>297.94099999999997</v>
      </c>
      <c r="E569" s="38">
        <v>729.47900000000004</v>
      </c>
      <c r="F569" s="32">
        <v>1150</v>
      </c>
      <c r="G569" s="32">
        <v>100</v>
      </c>
      <c r="H569" s="40">
        <v>600</v>
      </c>
      <c r="I569" s="32">
        <v>695</v>
      </c>
      <c r="J569" s="32">
        <v>50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</row>
    <row r="570" spans="1:20" ht="15.75">
      <c r="A570" s="13">
        <v>59230</v>
      </c>
      <c r="B570" s="41">
        <f t="shared" si="0"/>
        <v>28</v>
      </c>
      <c r="C570" s="32">
        <v>122.58</v>
      </c>
      <c r="D570" s="32">
        <v>297.94099999999997</v>
      </c>
      <c r="E570" s="38">
        <v>729.47900000000004</v>
      </c>
      <c r="F570" s="32">
        <v>1150</v>
      </c>
      <c r="G570" s="32">
        <v>100</v>
      </c>
      <c r="H570" s="40">
        <v>600</v>
      </c>
      <c r="I570" s="32">
        <v>695</v>
      </c>
      <c r="J570" s="32">
        <v>50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</row>
    <row r="571" spans="1:20" ht="15.75">
      <c r="A571" s="13">
        <v>59261</v>
      </c>
      <c r="B571" s="41">
        <f t="shared" si="0"/>
        <v>31</v>
      </c>
      <c r="C571" s="32">
        <v>122.58</v>
      </c>
      <c r="D571" s="32">
        <v>297.94099999999997</v>
      </c>
      <c r="E571" s="38">
        <v>729.47900000000004</v>
      </c>
      <c r="F571" s="32">
        <v>1150</v>
      </c>
      <c r="G571" s="32">
        <v>100</v>
      </c>
      <c r="H571" s="40">
        <v>600</v>
      </c>
      <c r="I571" s="32">
        <v>695</v>
      </c>
      <c r="J571" s="32">
        <v>50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</row>
    <row r="572" spans="1:20" ht="15.75">
      <c r="A572" s="13">
        <v>59291</v>
      </c>
      <c r="B572" s="41">
        <f t="shared" si="0"/>
        <v>30</v>
      </c>
      <c r="C572" s="32">
        <v>141.29300000000001</v>
      </c>
      <c r="D572" s="32">
        <v>267.99299999999999</v>
      </c>
      <c r="E572" s="38">
        <v>829.71400000000006</v>
      </c>
      <c r="F572" s="32">
        <v>1239</v>
      </c>
      <c r="G572" s="32">
        <v>100</v>
      </c>
      <c r="H572" s="40">
        <v>600</v>
      </c>
      <c r="I572" s="32">
        <v>695</v>
      </c>
      <c r="J572" s="32">
        <v>50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</row>
    <row r="573" spans="1:20" ht="15.75">
      <c r="A573" s="13">
        <v>59322</v>
      </c>
      <c r="B573" s="41">
        <f t="shared" si="0"/>
        <v>31</v>
      </c>
      <c r="C573" s="32">
        <v>194.20500000000001</v>
      </c>
      <c r="D573" s="32">
        <v>267.46600000000001</v>
      </c>
      <c r="E573" s="38">
        <v>812.32899999999995</v>
      </c>
      <c r="F573" s="32">
        <v>1274</v>
      </c>
      <c r="G573" s="32">
        <v>75</v>
      </c>
      <c r="H573" s="40">
        <v>600</v>
      </c>
      <c r="I573" s="32">
        <v>695</v>
      </c>
      <c r="J573" s="32">
        <v>50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</row>
    <row r="574" spans="1:20" ht="15.75">
      <c r="A574" s="13">
        <v>59352</v>
      </c>
      <c r="B574" s="41">
        <f t="shared" si="0"/>
        <v>30</v>
      </c>
      <c r="C574" s="32">
        <v>194.20500000000001</v>
      </c>
      <c r="D574" s="32">
        <v>267.46600000000001</v>
      </c>
      <c r="E574" s="38">
        <v>812.32899999999995</v>
      </c>
      <c r="F574" s="32">
        <v>1274</v>
      </c>
      <c r="G574" s="32">
        <v>50</v>
      </c>
      <c r="H574" s="40">
        <v>600</v>
      </c>
      <c r="I574" s="32">
        <v>695</v>
      </c>
      <c r="J574" s="32">
        <v>50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</row>
    <row r="575" spans="1:20" ht="15.75">
      <c r="A575" s="13">
        <v>59383</v>
      </c>
      <c r="B575" s="41">
        <f t="shared" si="0"/>
        <v>31</v>
      </c>
      <c r="C575" s="32">
        <v>194.20500000000001</v>
      </c>
      <c r="D575" s="32">
        <v>267.46600000000001</v>
      </c>
      <c r="E575" s="38">
        <v>812.32899999999995</v>
      </c>
      <c r="F575" s="32">
        <v>1274</v>
      </c>
      <c r="G575" s="32">
        <v>50</v>
      </c>
      <c r="H575" s="40">
        <v>600</v>
      </c>
      <c r="I575" s="32">
        <v>695</v>
      </c>
      <c r="J575" s="32">
        <v>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</row>
    <row r="576" spans="1:20" ht="15.75">
      <c r="A576" s="13">
        <v>59414</v>
      </c>
      <c r="B576" s="41">
        <f t="shared" si="0"/>
        <v>31</v>
      </c>
      <c r="C576" s="32">
        <v>194.20500000000001</v>
      </c>
      <c r="D576" s="32">
        <v>267.46600000000001</v>
      </c>
      <c r="E576" s="38">
        <v>812.32899999999995</v>
      </c>
      <c r="F576" s="32">
        <v>1274</v>
      </c>
      <c r="G576" s="32">
        <v>50</v>
      </c>
      <c r="H576" s="40">
        <v>600</v>
      </c>
      <c r="I576" s="32">
        <v>695</v>
      </c>
      <c r="J576" s="32">
        <v>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</row>
    <row r="577" spans="1:20" ht="15.75">
      <c r="A577" s="13">
        <v>59444</v>
      </c>
      <c r="B577" s="41">
        <f t="shared" si="0"/>
        <v>30</v>
      </c>
      <c r="C577" s="32">
        <v>194.20500000000001</v>
      </c>
      <c r="D577" s="32">
        <v>267.46600000000001</v>
      </c>
      <c r="E577" s="38">
        <v>812.32899999999995</v>
      </c>
      <c r="F577" s="32">
        <v>1274</v>
      </c>
      <c r="G577" s="32">
        <v>50</v>
      </c>
      <c r="H577" s="40">
        <v>600</v>
      </c>
      <c r="I577" s="32">
        <v>695</v>
      </c>
      <c r="J577" s="32">
        <v>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</row>
    <row r="578" spans="1:20" ht="15.75">
      <c r="A578" s="13">
        <v>59475</v>
      </c>
      <c r="B578" s="41">
        <f t="shared" si="0"/>
        <v>31</v>
      </c>
      <c r="C578" s="32">
        <v>131.881</v>
      </c>
      <c r="D578" s="32">
        <v>277.16699999999997</v>
      </c>
      <c r="E578" s="38">
        <v>829.952</v>
      </c>
      <c r="F578" s="32">
        <v>1239</v>
      </c>
      <c r="G578" s="32">
        <v>75</v>
      </c>
      <c r="H578" s="40">
        <v>600</v>
      </c>
      <c r="I578" s="32">
        <v>695</v>
      </c>
      <c r="J578" s="32">
        <v>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</row>
    <row r="579" spans="1:20" ht="15.75">
      <c r="A579" s="13">
        <v>59505</v>
      </c>
      <c r="B579" s="41">
        <f t="shared" si="0"/>
        <v>30</v>
      </c>
      <c r="C579" s="32">
        <v>122.58</v>
      </c>
      <c r="D579" s="32">
        <v>297.94099999999997</v>
      </c>
      <c r="E579" s="38">
        <v>729.47900000000004</v>
      </c>
      <c r="F579" s="32">
        <v>1150</v>
      </c>
      <c r="G579" s="32">
        <v>100</v>
      </c>
      <c r="H579" s="40">
        <v>600</v>
      </c>
      <c r="I579" s="32">
        <v>695</v>
      </c>
      <c r="J579" s="32">
        <v>50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</row>
    <row r="580" spans="1:20" ht="15.75">
      <c r="A580" s="13">
        <v>59536</v>
      </c>
      <c r="B580" s="41">
        <f t="shared" si="0"/>
        <v>31</v>
      </c>
      <c r="C580" s="32">
        <v>122.58</v>
      </c>
      <c r="D580" s="32">
        <v>297.94099999999997</v>
      </c>
      <c r="E580" s="38">
        <v>729.47900000000004</v>
      </c>
      <c r="F580" s="32">
        <v>1150</v>
      </c>
      <c r="G580" s="32">
        <v>100</v>
      </c>
      <c r="H580" s="40">
        <v>600</v>
      </c>
      <c r="I580" s="32">
        <v>695</v>
      </c>
      <c r="J580" s="32">
        <v>50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</row>
    <row r="581" spans="1:20" ht="15.75">
      <c r="A581" s="13">
        <v>59567</v>
      </c>
      <c r="B581" s="41">
        <f t="shared" si="0"/>
        <v>31</v>
      </c>
      <c r="C581" s="32">
        <v>122.58</v>
      </c>
      <c r="D581" s="32">
        <v>297.94099999999997</v>
      </c>
      <c r="E581" s="38">
        <v>729.47900000000004</v>
      </c>
      <c r="F581" s="32">
        <v>1150</v>
      </c>
      <c r="G581" s="32">
        <v>100</v>
      </c>
      <c r="H581" s="40">
        <v>600</v>
      </c>
      <c r="I581" s="32">
        <v>695</v>
      </c>
      <c r="J581" s="32">
        <v>50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</row>
    <row r="582" spans="1:20" ht="15.75">
      <c r="A582" s="13">
        <v>59595</v>
      </c>
      <c r="B582" s="41">
        <f t="shared" si="0"/>
        <v>28</v>
      </c>
      <c r="C582" s="32">
        <v>122.58</v>
      </c>
      <c r="D582" s="32">
        <v>297.94099999999997</v>
      </c>
      <c r="E582" s="38">
        <v>729.47900000000004</v>
      </c>
      <c r="F582" s="32">
        <v>1150</v>
      </c>
      <c r="G582" s="32">
        <v>100</v>
      </c>
      <c r="H582" s="40">
        <v>600</v>
      </c>
      <c r="I582" s="32">
        <v>695</v>
      </c>
      <c r="J582" s="32">
        <v>50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</row>
    <row r="583" spans="1:20" ht="15.75">
      <c r="A583" s="13">
        <v>59626</v>
      </c>
      <c r="B583" s="41">
        <f t="shared" si="0"/>
        <v>31</v>
      </c>
      <c r="C583" s="32">
        <v>122.58</v>
      </c>
      <c r="D583" s="32">
        <v>297.94099999999997</v>
      </c>
      <c r="E583" s="38">
        <v>729.47900000000004</v>
      </c>
      <c r="F583" s="32">
        <v>1150</v>
      </c>
      <c r="G583" s="32">
        <v>100</v>
      </c>
      <c r="H583" s="40">
        <v>600</v>
      </c>
      <c r="I583" s="32">
        <v>695</v>
      </c>
      <c r="J583" s="32">
        <v>50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</row>
    <row r="584" spans="1:20" ht="15.75">
      <c r="A584" s="13">
        <v>59656</v>
      </c>
      <c r="B584" s="41">
        <f t="shared" si="0"/>
        <v>30</v>
      </c>
      <c r="C584" s="32">
        <v>141.29300000000001</v>
      </c>
      <c r="D584" s="32">
        <v>267.99299999999999</v>
      </c>
      <c r="E584" s="38">
        <v>829.71400000000006</v>
      </c>
      <c r="F584" s="32">
        <v>1239</v>
      </c>
      <c r="G584" s="32">
        <v>100</v>
      </c>
      <c r="H584" s="40">
        <v>600</v>
      </c>
      <c r="I584" s="32">
        <v>695</v>
      </c>
      <c r="J584" s="32">
        <v>50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</row>
    <row r="585" spans="1:20" ht="15.75">
      <c r="A585" s="13">
        <v>59687</v>
      </c>
      <c r="B585" s="41">
        <f t="shared" si="0"/>
        <v>31</v>
      </c>
      <c r="C585" s="32">
        <v>194.20500000000001</v>
      </c>
      <c r="D585" s="32">
        <v>267.46600000000001</v>
      </c>
      <c r="E585" s="38">
        <v>812.32899999999995</v>
      </c>
      <c r="F585" s="32">
        <v>1274</v>
      </c>
      <c r="G585" s="32">
        <v>75</v>
      </c>
      <c r="H585" s="40">
        <v>600</v>
      </c>
      <c r="I585" s="32">
        <v>695</v>
      </c>
      <c r="J585" s="32">
        <v>50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</row>
    <row r="586" spans="1:20" ht="15.75">
      <c r="A586" s="13">
        <v>59717</v>
      </c>
      <c r="B586" s="41">
        <f t="shared" si="0"/>
        <v>30</v>
      </c>
      <c r="C586" s="32">
        <v>194.20500000000001</v>
      </c>
      <c r="D586" s="32">
        <v>267.46600000000001</v>
      </c>
      <c r="E586" s="38">
        <v>812.32899999999995</v>
      </c>
      <c r="F586" s="32">
        <v>1274</v>
      </c>
      <c r="G586" s="32">
        <v>50</v>
      </c>
      <c r="H586" s="40">
        <v>600</v>
      </c>
      <c r="I586" s="32">
        <v>695</v>
      </c>
      <c r="J586" s="32">
        <v>50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</row>
    <row r="587" spans="1:20" ht="15.75">
      <c r="A587" s="13">
        <v>59748</v>
      </c>
      <c r="B587" s="41">
        <f t="shared" si="0"/>
        <v>31</v>
      </c>
      <c r="C587" s="32">
        <v>194.20500000000001</v>
      </c>
      <c r="D587" s="32">
        <v>267.46600000000001</v>
      </c>
      <c r="E587" s="38">
        <v>812.32899999999995</v>
      </c>
      <c r="F587" s="32">
        <v>1274</v>
      </c>
      <c r="G587" s="32">
        <v>50</v>
      </c>
      <c r="H587" s="40">
        <v>600</v>
      </c>
      <c r="I587" s="32">
        <v>695</v>
      </c>
      <c r="J587" s="32">
        <v>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</row>
    <row r="588" spans="1:20" ht="15.75">
      <c r="A588" s="13">
        <v>59779</v>
      </c>
      <c r="B588" s="41">
        <f t="shared" si="0"/>
        <v>31</v>
      </c>
      <c r="C588" s="32">
        <v>194.20500000000001</v>
      </c>
      <c r="D588" s="32">
        <v>267.46600000000001</v>
      </c>
      <c r="E588" s="38">
        <v>812.32899999999995</v>
      </c>
      <c r="F588" s="32">
        <v>1274</v>
      </c>
      <c r="G588" s="32">
        <v>50</v>
      </c>
      <c r="H588" s="40">
        <v>600</v>
      </c>
      <c r="I588" s="32">
        <v>695</v>
      </c>
      <c r="J588" s="32">
        <v>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</row>
    <row r="589" spans="1:20" ht="15.75">
      <c r="A589" s="13">
        <v>59809</v>
      </c>
      <c r="B589" s="41">
        <f t="shared" si="0"/>
        <v>30</v>
      </c>
      <c r="C589" s="32">
        <v>194.20500000000001</v>
      </c>
      <c r="D589" s="32">
        <v>267.46600000000001</v>
      </c>
      <c r="E589" s="38">
        <v>812.32899999999995</v>
      </c>
      <c r="F589" s="32">
        <v>1274</v>
      </c>
      <c r="G589" s="32">
        <v>50</v>
      </c>
      <c r="H589" s="40">
        <v>600</v>
      </c>
      <c r="I589" s="32">
        <v>695</v>
      </c>
      <c r="J589" s="32">
        <v>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</row>
    <row r="590" spans="1:20" ht="15.75">
      <c r="A590" s="13">
        <v>59840</v>
      </c>
      <c r="B590" s="41">
        <f t="shared" si="0"/>
        <v>31</v>
      </c>
      <c r="C590" s="32">
        <v>131.881</v>
      </c>
      <c r="D590" s="32">
        <v>277.16699999999997</v>
      </c>
      <c r="E590" s="38">
        <v>829.952</v>
      </c>
      <c r="F590" s="32">
        <v>1239</v>
      </c>
      <c r="G590" s="32">
        <v>75</v>
      </c>
      <c r="H590" s="40">
        <v>600</v>
      </c>
      <c r="I590" s="32">
        <v>695</v>
      </c>
      <c r="J590" s="32">
        <v>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</row>
    <row r="591" spans="1:20" ht="15.75">
      <c r="A591" s="13">
        <v>59870</v>
      </c>
      <c r="B591" s="41">
        <f t="shared" si="0"/>
        <v>30</v>
      </c>
      <c r="C591" s="32">
        <v>122.58</v>
      </c>
      <c r="D591" s="32">
        <v>297.94099999999997</v>
      </c>
      <c r="E591" s="38">
        <v>729.47900000000004</v>
      </c>
      <c r="F591" s="32">
        <v>1150</v>
      </c>
      <c r="G591" s="32">
        <v>100</v>
      </c>
      <c r="H591" s="40">
        <v>600</v>
      </c>
      <c r="I591" s="32">
        <v>695</v>
      </c>
      <c r="J591" s="32">
        <v>50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</row>
    <row r="592" spans="1:20" ht="15.75">
      <c r="A592" s="13">
        <v>59901</v>
      </c>
      <c r="B592" s="41">
        <f t="shared" si="0"/>
        <v>31</v>
      </c>
      <c r="C592" s="32">
        <v>122.58</v>
      </c>
      <c r="D592" s="32">
        <v>297.94099999999997</v>
      </c>
      <c r="E592" s="38">
        <v>729.47900000000004</v>
      </c>
      <c r="F592" s="32">
        <v>1150</v>
      </c>
      <c r="G592" s="32">
        <v>100</v>
      </c>
      <c r="H592" s="40">
        <v>600</v>
      </c>
      <c r="I592" s="32">
        <v>695</v>
      </c>
      <c r="J592" s="32">
        <v>50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</row>
    <row r="593" spans="1:20" ht="15.75">
      <c r="A593" s="13">
        <v>59932</v>
      </c>
      <c r="B593" s="41">
        <f t="shared" si="0"/>
        <v>31</v>
      </c>
      <c r="C593" s="32">
        <v>122.58</v>
      </c>
      <c r="D593" s="32">
        <v>297.94099999999997</v>
      </c>
      <c r="E593" s="38">
        <v>729.47900000000004</v>
      </c>
      <c r="F593" s="32">
        <v>1150</v>
      </c>
      <c r="G593" s="32">
        <v>100</v>
      </c>
      <c r="H593" s="40">
        <v>600</v>
      </c>
      <c r="I593" s="32">
        <v>695</v>
      </c>
      <c r="J593" s="32">
        <v>50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</row>
    <row r="594" spans="1:20" ht="15.75">
      <c r="A594" s="13">
        <v>59961</v>
      </c>
      <c r="B594" s="41">
        <f t="shared" si="0"/>
        <v>29</v>
      </c>
      <c r="C594" s="32">
        <v>122.58</v>
      </c>
      <c r="D594" s="32">
        <v>297.94099999999997</v>
      </c>
      <c r="E594" s="38">
        <v>729.47900000000004</v>
      </c>
      <c r="F594" s="32">
        <v>1150</v>
      </c>
      <c r="G594" s="32">
        <v>100</v>
      </c>
      <c r="H594" s="40">
        <v>600</v>
      </c>
      <c r="I594" s="32">
        <v>695</v>
      </c>
      <c r="J594" s="32">
        <v>50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</row>
    <row r="595" spans="1:20" ht="15.75">
      <c r="A595" s="13">
        <v>59992</v>
      </c>
      <c r="B595" s="41">
        <f t="shared" si="0"/>
        <v>31</v>
      </c>
      <c r="C595" s="32">
        <v>122.58</v>
      </c>
      <c r="D595" s="32">
        <v>297.94099999999997</v>
      </c>
      <c r="E595" s="38">
        <v>729.47900000000004</v>
      </c>
      <c r="F595" s="32">
        <v>1150</v>
      </c>
      <c r="G595" s="32">
        <v>100</v>
      </c>
      <c r="H595" s="40">
        <v>600</v>
      </c>
      <c r="I595" s="32">
        <v>695</v>
      </c>
      <c r="J595" s="32">
        <v>50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</row>
    <row r="596" spans="1:20" ht="15.75">
      <c r="A596" s="13">
        <v>60022</v>
      </c>
      <c r="B596" s="41">
        <f t="shared" si="0"/>
        <v>30</v>
      </c>
      <c r="C596" s="32">
        <v>141.29300000000001</v>
      </c>
      <c r="D596" s="32">
        <v>267.99299999999999</v>
      </c>
      <c r="E596" s="38">
        <v>829.71400000000006</v>
      </c>
      <c r="F596" s="32">
        <v>1239</v>
      </c>
      <c r="G596" s="32">
        <v>100</v>
      </c>
      <c r="H596" s="40">
        <v>600</v>
      </c>
      <c r="I596" s="32">
        <v>695</v>
      </c>
      <c r="J596" s="32">
        <v>50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</row>
    <row r="597" spans="1:20" ht="15.75">
      <c r="A597" s="13">
        <v>60053</v>
      </c>
      <c r="B597" s="41">
        <f t="shared" si="0"/>
        <v>31</v>
      </c>
      <c r="C597" s="32">
        <v>194.20500000000001</v>
      </c>
      <c r="D597" s="32">
        <v>267.46600000000001</v>
      </c>
      <c r="E597" s="38">
        <v>812.32899999999995</v>
      </c>
      <c r="F597" s="32">
        <v>1274</v>
      </c>
      <c r="G597" s="32">
        <v>75</v>
      </c>
      <c r="H597" s="40">
        <v>600</v>
      </c>
      <c r="I597" s="32">
        <v>695</v>
      </c>
      <c r="J597" s="32">
        <v>50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</row>
    <row r="598" spans="1:20" ht="15.75">
      <c r="A598" s="13">
        <v>60083</v>
      </c>
      <c r="B598" s="41">
        <f t="shared" si="0"/>
        <v>30</v>
      </c>
      <c r="C598" s="32">
        <v>194.20500000000001</v>
      </c>
      <c r="D598" s="32">
        <v>267.46600000000001</v>
      </c>
      <c r="E598" s="38">
        <v>812.32899999999995</v>
      </c>
      <c r="F598" s="32">
        <v>1274</v>
      </c>
      <c r="G598" s="32">
        <v>50</v>
      </c>
      <c r="H598" s="40">
        <v>600</v>
      </c>
      <c r="I598" s="32">
        <v>695</v>
      </c>
      <c r="J598" s="32">
        <v>50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</row>
    <row r="599" spans="1:20" ht="15.75">
      <c r="A599" s="13">
        <v>60114</v>
      </c>
      <c r="B599" s="41">
        <f t="shared" si="0"/>
        <v>31</v>
      </c>
      <c r="C599" s="32">
        <v>194.20500000000001</v>
      </c>
      <c r="D599" s="32">
        <v>267.46600000000001</v>
      </c>
      <c r="E599" s="38">
        <v>812.32899999999995</v>
      </c>
      <c r="F599" s="32">
        <v>1274</v>
      </c>
      <c r="G599" s="32">
        <v>50</v>
      </c>
      <c r="H599" s="40">
        <v>600</v>
      </c>
      <c r="I599" s="32">
        <v>695</v>
      </c>
      <c r="J599" s="32">
        <v>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</row>
    <row r="600" spans="1:20" ht="15.75">
      <c r="A600" s="13">
        <v>60145</v>
      </c>
      <c r="B600" s="41">
        <f t="shared" si="0"/>
        <v>31</v>
      </c>
      <c r="C600" s="32">
        <v>194.20500000000001</v>
      </c>
      <c r="D600" s="32">
        <v>267.46600000000001</v>
      </c>
      <c r="E600" s="38">
        <v>812.32899999999995</v>
      </c>
      <c r="F600" s="32">
        <v>1274</v>
      </c>
      <c r="G600" s="32">
        <v>50</v>
      </c>
      <c r="H600" s="40">
        <v>600</v>
      </c>
      <c r="I600" s="32">
        <v>695</v>
      </c>
      <c r="J600" s="32">
        <v>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</row>
    <row r="601" spans="1:20" ht="15.75">
      <c r="A601" s="13">
        <v>60175</v>
      </c>
      <c r="B601" s="41">
        <f t="shared" si="0"/>
        <v>30</v>
      </c>
      <c r="C601" s="32">
        <v>194.20500000000001</v>
      </c>
      <c r="D601" s="32">
        <v>267.46600000000001</v>
      </c>
      <c r="E601" s="38">
        <v>812.32899999999995</v>
      </c>
      <c r="F601" s="32">
        <v>1274</v>
      </c>
      <c r="G601" s="32">
        <v>50</v>
      </c>
      <c r="H601" s="40">
        <v>600</v>
      </c>
      <c r="I601" s="32">
        <v>695</v>
      </c>
      <c r="J601" s="32">
        <v>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</row>
    <row r="602" spans="1:20" ht="15.75">
      <c r="A602" s="13">
        <v>60206</v>
      </c>
      <c r="B602" s="41">
        <f t="shared" si="0"/>
        <v>31</v>
      </c>
      <c r="C602" s="32">
        <v>131.881</v>
      </c>
      <c r="D602" s="32">
        <v>277.16699999999997</v>
      </c>
      <c r="E602" s="38">
        <v>829.952</v>
      </c>
      <c r="F602" s="32">
        <v>1239</v>
      </c>
      <c r="G602" s="32">
        <v>75</v>
      </c>
      <c r="H602" s="40">
        <v>600</v>
      </c>
      <c r="I602" s="32">
        <v>695</v>
      </c>
      <c r="J602" s="32">
        <v>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</row>
    <row r="603" spans="1:20" ht="15.75">
      <c r="A603" s="13">
        <v>60236</v>
      </c>
      <c r="B603" s="41">
        <f t="shared" si="0"/>
        <v>30</v>
      </c>
      <c r="C603" s="32">
        <v>122.58</v>
      </c>
      <c r="D603" s="32">
        <v>297.94099999999997</v>
      </c>
      <c r="E603" s="38">
        <v>729.47900000000004</v>
      </c>
      <c r="F603" s="32">
        <v>1150</v>
      </c>
      <c r="G603" s="32">
        <v>100</v>
      </c>
      <c r="H603" s="40">
        <v>600</v>
      </c>
      <c r="I603" s="32">
        <v>695</v>
      </c>
      <c r="J603" s="32">
        <v>50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</row>
    <row r="604" spans="1:20" ht="15.75">
      <c r="A604" s="13">
        <v>60267</v>
      </c>
      <c r="B604" s="41">
        <f t="shared" si="0"/>
        <v>31</v>
      </c>
      <c r="C604" s="32">
        <v>122.58</v>
      </c>
      <c r="D604" s="32">
        <v>297.94099999999997</v>
      </c>
      <c r="E604" s="38">
        <v>729.47900000000004</v>
      </c>
      <c r="F604" s="32">
        <v>1150</v>
      </c>
      <c r="G604" s="32">
        <v>100</v>
      </c>
      <c r="H604" s="40">
        <v>600</v>
      </c>
      <c r="I604" s="32">
        <v>695</v>
      </c>
      <c r="J604" s="32">
        <v>50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</row>
    <row r="605" spans="1:20" ht="15.75">
      <c r="A605" s="13">
        <v>60298</v>
      </c>
      <c r="B605" s="41">
        <f t="shared" si="0"/>
        <v>31</v>
      </c>
      <c r="C605" s="32">
        <v>122.58</v>
      </c>
      <c r="D605" s="32">
        <v>297.94099999999997</v>
      </c>
      <c r="E605" s="38">
        <v>729.47900000000004</v>
      </c>
      <c r="F605" s="32">
        <v>1150</v>
      </c>
      <c r="G605" s="32">
        <v>100</v>
      </c>
      <c r="H605" s="40">
        <v>600</v>
      </c>
      <c r="I605" s="32">
        <v>695</v>
      </c>
      <c r="J605" s="32">
        <v>50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</row>
    <row r="606" spans="1:20" ht="15.75">
      <c r="A606" s="13">
        <v>60326</v>
      </c>
      <c r="B606" s="41">
        <f t="shared" si="0"/>
        <v>28</v>
      </c>
      <c r="C606" s="32">
        <v>122.58</v>
      </c>
      <c r="D606" s="32">
        <v>297.94099999999997</v>
      </c>
      <c r="E606" s="38">
        <v>729.47900000000004</v>
      </c>
      <c r="F606" s="32">
        <v>1150</v>
      </c>
      <c r="G606" s="32">
        <v>100</v>
      </c>
      <c r="H606" s="40">
        <v>600</v>
      </c>
      <c r="I606" s="32">
        <v>695</v>
      </c>
      <c r="J606" s="32">
        <v>50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</row>
    <row r="607" spans="1:20" ht="15.75">
      <c r="A607" s="13">
        <v>60357</v>
      </c>
      <c r="B607" s="41">
        <f t="shared" si="0"/>
        <v>31</v>
      </c>
      <c r="C607" s="32">
        <v>122.58</v>
      </c>
      <c r="D607" s="32">
        <v>297.94099999999997</v>
      </c>
      <c r="E607" s="38">
        <v>729.47900000000004</v>
      </c>
      <c r="F607" s="32">
        <v>1150</v>
      </c>
      <c r="G607" s="32">
        <v>100</v>
      </c>
      <c r="H607" s="40">
        <v>600</v>
      </c>
      <c r="I607" s="32">
        <v>695</v>
      </c>
      <c r="J607" s="32">
        <v>50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</row>
    <row r="608" spans="1:20" ht="15.75">
      <c r="A608" s="13">
        <v>60387</v>
      </c>
      <c r="B608" s="41">
        <f t="shared" si="0"/>
        <v>30</v>
      </c>
      <c r="C608" s="32">
        <v>141.29300000000001</v>
      </c>
      <c r="D608" s="32">
        <v>267.99299999999999</v>
      </c>
      <c r="E608" s="38">
        <v>829.71400000000006</v>
      </c>
      <c r="F608" s="32">
        <v>1239</v>
      </c>
      <c r="G608" s="32">
        <v>100</v>
      </c>
      <c r="H608" s="40">
        <v>600</v>
      </c>
      <c r="I608" s="32">
        <v>695</v>
      </c>
      <c r="J608" s="32">
        <v>50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</row>
    <row r="609" spans="1:20" ht="15.75">
      <c r="A609" s="13">
        <v>60418</v>
      </c>
      <c r="B609" s="41">
        <f t="shared" si="0"/>
        <v>31</v>
      </c>
      <c r="C609" s="32">
        <v>194.20500000000001</v>
      </c>
      <c r="D609" s="32">
        <v>267.46600000000001</v>
      </c>
      <c r="E609" s="38">
        <v>812.32899999999995</v>
      </c>
      <c r="F609" s="32">
        <v>1274</v>
      </c>
      <c r="G609" s="32">
        <v>75</v>
      </c>
      <c r="H609" s="40">
        <v>600</v>
      </c>
      <c r="I609" s="32">
        <v>695</v>
      </c>
      <c r="J609" s="32">
        <v>50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</row>
    <row r="610" spans="1:20" ht="15.75">
      <c r="A610" s="13">
        <v>60448</v>
      </c>
      <c r="B610" s="41">
        <f t="shared" si="0"/>
        <v>30</v>
      </c>
      <c r="C610" s="32">
        <v>194.20500000000001</v>
      </c>
      <c r="D610" s="32">
        <v>267.46600000000001</v>
      </c>
      <c r="E610" s="38">
        <v>812.32899999999995</v>
      </c>
      <c r="F610" s="32">
        <v>1274</v>
      </c>
      <c r="G610" s="32">
        <v>50</v>
      </c>
      <c r="H610" s="40">
        <v>600</v>
      </c>
      <c r="I610" s="32">
        <v>695</v>
      </c>
      <c r="J610" s="32">
        <v>50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</row>
    <row r="611" spans="1:20" ht="15.75">
      <c r="A611" s="13">
        <v>60479</v>
      </c>
      <c r="B611" s="41">
        <f t="shared" si="0"/>
        <v>31</v>
      </c>
      <c r="C611" s="32">
        <v>194.20500000000001</v>
      </c>
      <c r="D611" s="32">
        <v>267.46600000000001</v>
      </c>
      <c r="E611" s="38">
        <v>812.32899999999995</v>
      </c>
      <c r="F611" s="32">
        <v>1274</v>
      </c>
      <c r="G611" s="32">
        <v>50</v>
      </c>
      <c r="H611" s="40">
        <v>600</v>
      </c>
      <c r="I611" s="32">
        <v>695</v>
      </c>
      <c r="J611" s="32">
        <v>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</row>
    <row r="612" spans="1:20" ht="15.75">
      <c r="A612" s="13">
        <v>60510</v>
      </c>
      <c r="B612" s="41">
        <f t="shared" si="0"/>
        <v>31</v>
      </c>
      <c r="C612" s="32">
        <v>194.20500000000001</v>
      </c>
      <c r="D612" s="32">
        <v>267.46600000000001</v>
      </c>
      <c r="E612" s="38">
        <v>812.32899999999995</v>
      </c>
      <c r="F612" s="32">
        <v>1274</v>
      </c>
      <c r="G612" s="32">
        <v>50</v>
      </c>
      <c r="H612" s="40">
        <v>600</v>
      </c>
      <c r="I612" s="32">
        <v>695</v>
      </c>
      <c r="J612" s="32">
        <v>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</row>
    <row r="613" spans="1:20" ht="15.75">
      <c r="A613" s="13">
        <v>60540</v>
      </c>
      <c r="B613" s="41">
        <f t="shared" si="0"/>
        <v>30</v>
      </c>
      <c r="C613" s="32">
        <v>194.20500000000001</v>
      </c>
      <c r="D613" s="32">
        <v>267.46600000000001</v>
      </c>
      <c r="E613" s="38">
        <v>812.32899999999995</v>
      </c>
      <c r="F613" s="32">
        <v>1274</v>
      </c>
      <c r="G613" s="32">
        <v>50</v>
      </c>
      <c r="H613" s="40">
        <v>600</v>
      </c>
      <c r="I613" s="32">
        <v>695</v>
      </c>
      <c r="J613" s="32">
        <v>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</row>
    <row r="614" spans="1:20" ht="15.75">
      <c r="A614" s="13">
        <v>60571</v>
      </c>
      <c r="B614" s="41">
        <f t="shared" si="0"/>
        <v>31</v>
      </c>
      <c r="C614" s="32">
        <v>131.881</v>
      </c>
      <c r="D614" s="32">
        <v>277.16699999999997</v>
      </c>
      <c r="E614" s="38">
        <v>829.952</v>
      </c>
      <c r="F614" s="32">
        <v>1239</v>
      </c>
      <c r="G614" s="32">
        <v>75</v>
      </c>
      <c r="H614" s="40">
        <v>600</v>
      </c>
      <c r="I614" s="32">
        <v>695</v>
      </c>
      <c r="J614" s="32">
        <v>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</row>
    <row r="615" spans="1:20" ht="15.75">
      <c r="A615" s="13">
        <v>60601</v>
      </c>
      <c r="B615" s="41">
        <f t="shared" si="0"/>
        <v>30</v>
      </c>
      <c r="C615" s="32">
        <v>122.58</v>
      </c>
      <c r="D615" s="32">
        <v>297.94099999999997</v>
      </c>
      <c r="E615" s="38">
        <v>729.47900000000004</v>
      </c>
      <c r="F615" s="32">
        <v>1150</v>
      </c>
      <c r="G615" s="32">
        <v>100</v>
      </c>
      <c r="H615" s="40">
        <v>600</v>
      </c>
      <c r="I615" s="32">
        <v>695</v>
      </c>
      <c r="J615" s="32">
        <v>50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</row>
    <row r="616" spans="1:20" ht="15.75">
      <c r="A616" s="13">
        <v>60632</v>
      </c>
      <c r="B616" s="41">
        <f t="shared" si="0"/>
        <v>31</v>
      </c>
      <c r="C616" s="32">
        <v>122.58</v>
      </c>
      <c r="D616" s="32">
        <v>297.94099999999997</v>
      </c>
      <c r="E616" s="38">
        <v>729.47900000000004</v>
      </c>
      <c r="F616" s="32">
        <v>1150</v>
      </c>
      <c r="G616" s="32">
        <v>100</v>
      </c>
      <c r="H616" s="40">
        <v>600</v>
      </c>
      <c r="I616" s="32">
        <v>695</v>
      </c>
      <c r="J616" s="32">
        <v>50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</row>
    <row r="617" spans="1:20" ht="15.75">
      <c r="A617" s="13">
        <v>60663</v>
      </c>
      <c r="B617" s="41">
        <f t="shared" si="0"/>
        <v>31</v>
      </c>
      <c r="C617" s="32">
        <v>122.58</v>
      </c>
      <c r="D617" s="32">
        <v>297.94099999999997</v>
      </c>
      <c r="E617" s="38">
        <v>729.47900000000004</v>
      </c>
      <c r="F617" s="32">
        <v>1150</v>
      </c>
      <c r="G617" s="32">
        <v>100</v>
      </c>
      <c r="H617" s="40">
        <v>600</v>
      </c>
      <c r="I617" s="32">
        <v>695</v>
      </c>
      <c r="J617" s="32">
        <v>50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</row>
    <row r="618" spans="1:20" ht="15.75">
      <c r="A618" s="13">
        <v>60691</v>
      </c>
      <c r="B618" s="41">
        <f t="shared" si="0"/>
        <v>28</v>
      </c>
      <c r="C618" s="32">
        <v>122.58</v>
      </c>
      <c r="D618" s="32">
        <v>297.94099999999997</v>
      </c>
      <c r="E618" s="38">
        <v>729.47900000000004</v>
      </c>
      <c r="F618" s="32">
        <v>1150</v>
      </c>
      <c r="G618" s="32">
        <v>100</v>
      </c>
      <c r="H618" s="40">
        <v>600</v>
      </c>
      <c r="I618" s="32">
        <v>695</v>
      </c>
      <c r="J618" s="32">
        <v>50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</row>
    <row r="619" spans="1:20" ht="15.75">
      <c r="A619" s="13">
        <v>60722</v>
      </c>
      <c r="B619" s="41">
        <f t="shared" si="0"/>
        <v>31</v>
      </c>
      <c r="C619" s="32">
        <v>122.58</v>
      </c>
      <c r="D619" s="32">
        <v>297.94099999999997</v>
      </c>
      <c r="E619" s="38">
        <v>729.47900000000004</v>
      </c>
      <c r="F619" s="32">
        <v>1150</v>
      </c>
      <c r="G619" s="32">
        <v>100</v>
      </c>
      <c r="H619" s="40">
        <v>600</v>
      </c>
      <c r="I619" s="32">
        <v>695</v>
      </c>
      <c r="J619" s="32">
        <v>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</row>
    <row r="620" spans="1:20" ht="15.75">
      <c r="A620" s="13">
        <v>60752</v>
      </c>
      <c r="B620" s="41">
        <f t="shared" si="0"/>
        <v>30</v>
      </c>
      <c r="C620" s="32">
        <v>141.29300000000001</v>
      </c>
      <c r="D620" s="32">
        <v>267.99299999999999</v>
      </c>
      <c r="E620" s="38">
        <v>829.71400000000006</v>
      </c>
      <c r="F620" s="32">
        <v>1239</v>
      </c>
      <c r="G620" s="32">
        <v>100</v>
      </c>
      <c r="H620" s="40">
        <v>600</v>
      </c>
      <c r="I620" s="32">
        <v>695</v>
      </c>
      <c r="J620" s="32">
        <v>50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</row>
    <row r="621" spans="1:20" ht="15.75">
      <c r="A621" s="13">
        <v>60783</v>
      </c>
      <c r="B621" s="41">
        <f t="shared" si="0"/>
        <v>31</v>
      </c>
      <c r="C621" s="32">
        <v>194.20500000000001</v>
      </c>
      <c r="D621" s="32">
        <v>267.46600000000001</v>
      </c>
      <c r="E621" s="38">
        <v>812.32899999999995</v>
      </c>
      <c r="F621" s="32">
        <v>1274</v>
      </c>
      <c r="G621" s="32">
        <v>75</v>
      </c>
      <c r="H621" s="40">
        <v>600</v>
      </c>
      <c r="I621" s="32">
        <v>695</v>
      </c>
      <c r="J621" s="32">
        <v>50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</row>
    <row r="622" spans="1:20" ht="15.75">
      <c r="A622" s="13">
        <v>60813</v>
      </c>
      <c r="B622" s="41">
        <f t="shared" si="0"/>
        <v>30</v>
      </c>
      <c r="C622" s="32">
        <v>194.20500000000001</v>
      </c>
      <c r="D622" s="32">
        <v>267.46600000000001</v>
      </c>
      <c r="E622" s="38">
        <v>812.32899999999995</v>
      </c>
      <c r="F622" s="32">
        <v>1274</v>
      </c>
      <c r="G622" s="32">
        <v>50</v>
      </c>
      <c r="H622" s="40">
        <v>600</v>
      </c>
      <c r="I622" s="32">
        <v>695</v>
      </c>
      <c r="J622" s="32">
        <v>50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</row>
    <row r="623" spans="1:20" ht="15.75">
      <c r="A623" s="13">
        <v>60844</v>
      </c>
      <c r="B623" s="41">
        <f t="shared" si="0"/>
        <v>31</v>
      </c>
      <c r="C623" s="32">
        <v>194.20500000000001</v>
      </c>
      <c r="D623" s="32">
        <v>267.46600000000001</v>
      </c>
      <c r="E623" s="38">
        <v>812.32899999999995</v>
      </c>
      <c r="F623" s="32">
        <v>1274</v>
      </c>
      <c r="G623" s="32">
        <v>50</v>
      </c>
      <c r="H623" s="40">
        <v>600</v>
      </c>
      <c r="I623" s="32">
        <v>695</v>
      </c>
      <c r="J623" s="32">
        <v>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</row>
    <row r="624" spans="1:20" ht="15.75">
      <c r="A624" s="13">
        <v>60875</v>
      </c>
      <c r="B624" s="41">
        <f t="shared" si="0"/>
        <v>31</v>
      </c>
      <c r="C624" s="32">
        <v>194.20500000000001</v>
      </c>
      <c r="D624" s="32">
        <v>267.46600000000001</v>
      </c>
      <c r="E624" s="38">
        <v>812.32899999999995</v>
      </c>
      <c r="F624" s="32">
        <v>1274</v>
      </c>
      <c r="G624" s="32">
        <v>50</v>
      </c>
      <c r="H624" s="40">
        <v>600</v>
      </c>
      <c r="I624" s="32">
        <v>695</v>
      </c>
      <c r="J624" s="32">
        <v>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</row>
    <row r="625" spans="1:20" ht="15.75">
      <c r="A625" s="13">
        <v>60905</v>
      </c>
      <c r="B625" s="41">
        <f t="shared" si="0"/>
        <v>30</v>
      </c>
      <c r="C625" s="32">
        <v>194.20500000000001</v>
      </c>
      <c r="D625" s="32">
        <v>267.46600000000001</v>
      </c>
      <c r="E625" s="38">
        <v>812.32899999999995</v>
      </c>
      <c r="F625" s="32">
        <v>1274</v>
      </c>
      <c r="G625" s="32">
        <v>50</v>
      </c>
      <c r="H625" s="40">
        <v>600</v>
      </c>
      <c r="I625" s="32">
        <v>695</v>
      </c>
      <c r="J625" s="32">
        <v>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</row>
    <row r="626" spans="1:20" ht="15.75">
      <c r="A626" s="13">
        <v>60936</v>
      </c>
      <c r="B626" s="41">
        <f t="shared" si="0"/>
        <v>31</v>
      </c>
      <c r="C626" s="32">
        <v>131.881</v>
      </c>
      <c r="D626" s="32">
        <v>277.16699999999997</v>
      </c>
      <c r="E626" s="38">
        <v>829.952</v>
      </c>
      <c r="F626" s="32">
        <v>1239</v>
      </c>
      <c r="G626" s="32">
        <v>75</v>
      </c>
      <c r="H626" s="40">
        <v>600</v>
      </c>
      <c r="I626" s="32">
        <v>695</v>
      </c>
      <c r="J626" s="32">
        <v>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</row>
    <row r="627" spans="1:20" ht="15.75">
      <c r="A627" s="13">
        <v>60966</v>
      </c>
      <c r="B627" s="41">
        <f t="shared" si="0"/>
        <v>30</v>
      </c>
      <c r="C627" s="32">
        <v>122.58</v>
      </c>
      <c r="D627" s="32">
        <v>297.94099999999997</v>
      </c>
      <c r="E627" s="38">
        <v>729.47900000000004</v>
      </c>
      <c r="F627" s="32">
        <v>1150</v>
      </c>
      <c r="G627" s="32">
        <v>100</v>
      </c>
      <c r="H627" s="40">
        <v>600</v>
      </c>
      <c r="I627" s="32">
        <v>695</v>
      </c>
      <c r="J627" s="32">
        <v>50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</row>
    <row r="628" spans="1:20" ht="15.75">
      <c r="A628" s="13">
        <v>60997</v>
      </c>
      <c r="B628" s="41">
        <f t="shared" si="0"/>
        <v>31</v>
      </c>
      <c r="C628" s="32">
        <v>122.58</v>
      </c>
      <c r="D628" s="32">
        <v>297.94099999999997</v>
      </c>
      <c r="E628" s="38">
        <v>729.47900000000004</v>
      </c>
      <c r="F628" s="32">
        <v>1150</v>
      </c>
      <c r="G628" s="32">
        <v>100</v>
      </c>
      <c r="H628" s="40">
        <v>600</v>
      </c>
      <c r="I628" s="32">
        <v>695</v>
      </c>
      <c r="J628" s="32">
        <v>50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</row>
    <row r="629" spans="1:20" ht="15.75">
      <c r="A629" s="13">
        <v>61028</v>
      </c>
      <c r="B629" s="41">
        <f t="shared" si="0"/>
        <v>31</v>
      </c>
      <c r="C629" s="32">
        <v>122.58</v>
      </c>
      <c r="D629" s="32">
        <v>297.94099999999997</v>
      </c>
      <c r="E629" s="38">
        <v>729.47900000000004</v>
      </c>
      <c r="F629" s="32">
        <v>1150</v>
      </c>
      <c r="G629" s="32">
        <v>100</v>
      </c>
      <c r="H629" s="40">
        <v>600</v>
      </c>
      <c r="I629" s="32">
        <v>695</v>
      </c>
      <c r="J629" s="32">
        <v>50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</row>
    <row r="630" spans="1:20" ht="15.75">
      <c r="A630" s="13">
        <v>61056</v>
      </c>
      <c r="B630" s="41">
        <f t="shared" si="0"/>
        <v>28</v>
      </c>
      <c r="C630" s="32">
        <v>122.58</v>
      </c>
      <c r="D630" s="32">
        <v>297.94099999999997</v>
      </c>
      <c r="E630" s="38">
        <v>729.47900000000004</v>
      </c>
      <c r="F630" s="32">
        <v>1150</v>
      </c>
      <c r="G630" s="32">
        <v>100</v>
      </c>
      <c r="H630" s="40">
        <v>600</v>
      </c>
      <c r="I630" s="32">
        <v>695</v>
      </c>
      <c r="J630" s="32">
        <v>50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</row>
    <row r="631" spans="1:20" ht="15.75">
      <c r="A631" s="13">
        <v>61087</v>
      </c>
      <c r="B631" s="41">
        <f t="shared" si="0"/>
        <v>31</v>
      </c>
      <c r="C631" s="32">
        <v>122.58</v>
      </c>
      <c r="D631" s="32">
        <v>297.94099999999997</v>
      </c>
      <c r="E631" s="38">
        <v>729.47900000000004</v>
      </c>
      <c r="F631" s="32">
        <v>1150</v>
      </c>
      <c r="G631" s="32">
        <v>100</v>
      </c>
      <c r="H631" s="40">
        <v>600</v>
      </c>
      <c r="I631" s="32">
        <v>695</v>
      </c>
      <c r="J631" s="32">
        <v>50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</row>
    <row r="632" spans="1:20" ht="15.75">
      <c r="A632" s="13">
        <v>61117</v>
      </c>
      <c r="B632" s="41">
        <f t="shared" si="0"/>
        <v>30</v>
      </c>
      <c r="C632" s="32">
        <v>141.29300000000001</v>
      </c>
      <c r="D632" s="32">
        <v>267.99299999999999</v>
      </c>
      <c r="E632" s="38">
        <v>829.71400000000006</v>
      </c>
      <c r="F632" s="32">
        <v>1239</v>
      </c>
      <c r="G632" s="32">
        <v>100</v>
      </c>
      <c r="H632" s="40">
        <v>600</v>
      </c>
      <c r="I632" s="32">
        <v>695</v>
      </c>
      <c r="J632" s="32">
        <v>50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</row>
    <row r="633" spans="1:20" ht="15.75">
      <c r="A633" s="13">
        <v>61148</v>
      </c>
      <c r="B633" s="41">
        <f t="shared" ref="B633:B696" si="1">EOMONTH(A633,0)-EOMONTH(A633,-1)</f>
        <v>31</v>
      </c>
      <c r="C633" s="32">
        <v>194.20500000000001</v>
      </c>
      <c r="D633" s="32">
        <v>267.46600000000001</v>
      </c>
      <c r="E633" s="38">
        <v>812.32899999999995</v>
      </c>
      <c r="F633" s="32">
        <v>1274</v>
      </c>
      <c r="G633" s="32">
        <v>75</v>
      </c>
      <c r="H633" s="40">
        <v>600</v>
      </c>
      <c r="I633" s="32">
        <v>695</v>
      </c>
      <c r="J633" s="32">
        <v>50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</row>
    <row r="634" spans="1:20" ht="15.75">
      <c r="A634" s="13">
        <v>61178</v>
      </c>
      <c r="B634" s="41">
        <f t="shared" si="1"/>
        <v>30</v>
      </c>
      <c r="C634" s="32">
        <v>194.20500000000001</v>
      </c>
      <c r="D634" s="32">
        <v>267.46600000000001</v>
      </c>
      <c r="E634" s="38">
        <v>812.32899999999995</v>
      </c>
      <c r="F634" s="32">
        <v>1274</v>
      </c>
      <c r="G634" s="32">
        <v>50</v>
      </c>
      <c r="H634" s="40">
        <v>600</v>
      </c>
      <c r="I634" s="32">
        <v>695</v>
      </c>
      <c r="J634" s="32">
        <v>50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</row>
    <row r="635" spans="1:20" ht="15.75">
      <c r="A635" s="13">
        <v>61209</v>
      </c>
      <c r="B635" s="41">
        <f t="shared" si="1"/>
        <v>31</v>
      </c>
      <c r="C635" s="32">
        <v>194.20500000000001</v>
      </c>
      <c r="D635" s="32">
        <v>267.46600000000001</v>
      </c>
      <c r="E635" s="38">
        <v>812.32899999999995</v>
      </c>
      <c r="F635" s="32">
        <v>1274</v>
      </c>
      <c r="G635" s="32">
        <v>50</v>
      </c>
      <c r="H635" s="40">
        <v>600</v>
      </c>
      <c r="I635" s="32">
        <v>695</v>
      </c>
      <c r="J635" s="32">
        <v>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</row>
    <row r="636" spans="1:20" ht="15.75">
      <c r="A636" s="13">
        <v>61240</v>
      </c>
      <c r="B636" s="41">
        <f t="shared" si="1"/>
        <v>31</v>
      </c>
      <c r="C636" s="32">
        <v>194.20500000000001</v>
      </c>
      <c r="D636" s="32">
        <v>267.46600000000001</v>
      </c>
      <c r="E636" s="38">
        <v>812.32899999999995</v>
      </c>
      <c r="F636" s="32">
        <v>1274</v>
      </c>
      <c r="G636" s="32">
        <v>50</v>
      </c>
      <c r="H636" s="40">
        <v>600</v>
      </c>
      <c r="I636" s="32">
        <v>695</v>
      </c>
      <c r="J636" s="32">
        <v>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</row>
    <row r="637" spans="1:20" ht="15.75">
      <c r="A637" s="13">
        <v>61270</v>
      </c>
      <c r="B637" s="41">
        <f t="shared" si="1"/>
        <v>30</v>
      </c>
      <c r="C637" s="32">
        <v>194.20500000000001</v>
      </c>
      <c r="D637" s="32">
        <v>267.46600000000001</v>
      </c>
      <c r="E637" s="38">
        <v>812.32899999999995</v>
      </c>
      <c r="F637" s="32">
        <v>1274</v>
      </c>
      <c r="G637" s="32">
        <v>50</v>
      </c>
      <c r="H637" s="40">
        <v>600</v>
      </c>
      <c r="I637" s="32">
        <v>695</v>
      </c>
      <c r="J637" s="32">
        <v>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</row>
    <row r="638" spans="1:20" ht="15.75">
      <c r="A638" s="13">
        <v>61301</v>
      </c>
      <c r="B638" s="41">
        <f t="shared" si="1"/>
        <v>31</v>
      </c>
      <c r="C638" s="32">
        <v>131.881</v>
      </c>
      <c r="D638" s="32">
        <v>277.16699999999997</v>
      </c>
      <c r="E638" s="38">
        <v>829.952</v>
      </c>
      <c r="F638" s="32">
        <v>1239</v>
      </c>
      <c r="G638" s="32">
        <v>75</v>
      </c>
      <c r="H638" s="40">
        <v>600</v>
      </c>
      <c r="I638" s="32">
        <v>695</v>
      </c>
      <c r="J638" s="32">
        <v>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</row>
    <row r="639" spans="1:20" ht="15.75">
      <c r="A639" s="13">
        <v>61331</v>
      </c>
      <c r="B639" s="41">
        <f t="shared" si="1"/>
        <v>30</v>
      </c>
      <c r="C639" s="32">
        <v>122.58</v>
      </c>
      <c r="D639" s="32">
        <v>297.94099999999997</v>
      </c>
      <c r="E639" s="38">
        <v>729.47900000000004</v>
      </c>
      <c r="F639" s="32">
        <v>1150</v>
      </c>
      <c r="G639" s="32">
        <v>100</v>
      </c>
      <c r="H639" s="40">
        <v>600</v>
      </c>
      <c r="I639" s="32">
        <v>695</v>
      </c>
      <c r="J639" s="32">
        <v>50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</row>
    <row r="640" spans="1:20" ht="15.75">
      <c r="A640" s="13">
        <v>61362</v>
      </c>
      <c r="B640" s="41">
        <f t="shared" si="1"/>
        <v>31</v>
      </c>
      <c r="C640" s="32">
        <v>122.58</v>
      </c>
      <c r="D640" s="32">
        <v>297.94099999999997</v>
      </c>
      <c r="E640" s="38">
        <v>729.47900000000004</v>
      </c>
      <c r="F640" s="32">
        <v>1150</v>
      </c>
      <c r="G640" s="32">
        <v>100</v>
      </c>
      <c r="H640" s="40">
        <v>600</v>
      </c>
      <c r="I640" s="32">
        <v>695</v>
      </c>
      <c r="J640" s="32">
        <v>50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</row>
    <row r="641" spans="1:20" ht="15.75">
      <c r="A641" s="13">
        <v>61393</v>
      </c>
      <c r="B641" s="41">
        <f t="shared" si="1"/>
        <v>31</v>
      </c>
      <c r="C641" s="32">
        <v>122.58</v>
      </c>
      <c r="D641" s="32">
        <v>297.94099999999997</v>
      </c>
      <c r="E641" s="38">
        <v>729.47900000000004</v>
      </c>
      <c r="F641" s="32">
        <v>1150</v>
      </c>
      <c r="G641" s="32">
        <v>100</v>
      </c>
      <c r="H641" s="40">
        <v>600</v>
      </c>
      <c r="I641" s="32">
        <v>695</v>
      </c>
      <c r="J641" s="32">
        <v>50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</row>
    <row r="642" spans="1:20" ht="15.75">
      <c r="A642" s="13">
        <v>61422</v>
      </c>
      <c r="B642" s="41">
        <f t="shared" si="1"/>
        <v>29</v>
      </c>
      <c r="C642" s="32">
        <v>122.58</v>
      </c>
      <c r="D642" s="32">
        <v>297.94099999999997</v>
      </c>
      <c r="E642" s="38">
        <v>729.47900000000004</v>
      </c>
      <c r="F642" s="32">
        <v>1150</v>
      </c>
      <c r="G642" s="32">
        <v>100</v>
      </c>
      <c r="H642" s="40">
        <v>600</v>
      </c>
      <c r="I642" s="32">
        <v>695</v>
      </c>
      <c r="J642" s="32">
        <v>50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</row>
    <row r="643" spans="1:20" ht="15.75">
      <c r="A643" s="13">
        <v>61453</v>
      </c>
      <c r="B643" s="41">
        <f t="shared" si="1"/>
        <v>31</v>
      </c>
      <c r="C643" s="32">
        <v>122.58</v>
      </c>
      <c r="D643" s="32">
        <v>297.94099999999997</v>
      </c>
      <c r="E643" s="38">
        <v>729.47900000000004</v>
      </c>
      <c r="F643" s="32">
        <v>1150</v>
      </c>
      <c r="G643" s="32">
        <v>100</v>
      </c>
      <c r="H643" s="40">
        <v>600</v>
      </c>
      <c r="I643" s="32">
        <v>695</v>
      </c>
      <c r="J643" s="32">
        <v>50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</row>
    <row r="644" spans="1:20" ht="15.75">
      <c r="A644" s="13">
        <v>61483</v>
      </c>
      <c r="B644" s="41">
        <f t="shared" si="1"/>
        <v>30</v>
      </c>
      <c r="C644" s="32">
        <v>141.29300000000001</v>
      </c>
      <c r="D644" s="32">
        <v>267.99299999999999</v>
      </c>
      <c r="E644" s="38">
        <v>829.71400000000006</v>
      </c>
      <c r="F644" s="32">
        <v>1239</v>
      </c>
      <c r="G644" s="32">
        <v>100</v>
      </c>
      <c r="H644" s="40">
        <v>600</v>
      </c>
      <c r="I644" s="32">
        <v>695</v>
      </c>
      <c r="J644" s="32">
        <v>50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</row>
    <row r="645" spans="1:20" ht="15.75">
      <c r="A645" s="13">
        <v>61514</v>
      </c>
      <c r="B645" s="41">
        <f t="shared" si="1"/>
        <v>31</v>
      </c>
      <c r="C645" s="32">
        <v>194.20500000000001</v>
      </c>
      <c r="D645" s="32">
        <v>267.46600000000001</v>
      </c>
      <c r="E645" s="38">
        <v>812.32899999999995</v>
      </c>
      <c r="F645" s="32">
        <v>1274</v>
      </c>
      <c r="G645" s="32">
        <v>75</v>
      </c>
      <c r="H645" s="40">
        <v>600</v>
      </c>
      <c r="I645" s="32">
        <v>695</v>
      </c>
      <c r="J645" s="32">
        <v>50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</row>
    <row r="646" spans="1:20" ht="15.75">
      <c r="A646" s="13">
        <v>61544</v>
      </c>
      <c r="B646" s="41">
        <f t="shared" si="1"/>
        <v>30</v>
      </c>
      <c r="C646" s="32">
        <v>194.20500000000001</v>
      </c>
      <c r="D646" s="32">
        <v>267.46600000000001</v>
      </c>
      <c r="E646" s="38">
        <v>812.32899999999995</v>
      </c>
      <c r="F646" s="32">
        <v>1274</v>
      </c>
      <c r="G646" s="32">
        <v>50</v>
      </c>
      <c r="H646" s="40">
        <v>600</v>
      </c>
      <c r="I646" s="32">
        <v>695</v>
      </c>
      <c r="J646" s="32">
        <v>50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</row>
    <row r="647" spans="1:20" ht="15.75">
      <c r="A647" s="13">
        <v>61575</v>
      </c>
      <c r="B647" s="41">
        <f t="shared" si="1"/>
        <v>31</v>
      </c>
      <c r="C647" s="32">
        <v>194.20500000000001</v>
      </c>
      <c r="D647" s="32">
        <v>267.46600000000001</v>
      </c>
      <c r="E647" s="38">
        <v>812.32899999999995</v>
      </c>
      <c r="F647" s="32">
        <v>1274</v>
      </c>
      <c r="G647" s="32">
        <v>50</v>
      </c>
      <c r="H647" s="40">
        <v>600</v>
      </c>
      <c r="I647" s="32">
        <v>695</v>
      </c>
      <c r="J647" s="32">
        <v>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</row>
    <row r="648" spans="1:20" ht="15.75">
      <c r="A648" s="13">
        <v>61606</v>
      </c>
      <c r="B648" s="41">
        <f t="shared" si="1"/>
        <v>31</v>
      </c>
      <c r="C648" s="32">
        <v>194.20500000000001</v>
      </c>
      <c r="D648" s="32">
        <v>267.46600000000001</v>
      </c>
      <c r="E648" s="38">
        <v>812.32899999999995</v>
      </c>
      <c r="F648" s="32">
        <v>1274</v>
      </c>
      <c r="G648" s="32">
        <v>50</v>
      </c>
      <c r="H648" s="40">
        <v>600</v>
      </c>
      <c r="I648" s="32">
        <v>695</v>
      </c>
      <c r="J648" s="32">
        <v>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</row>
    <row r="649" spans="1:20" ht="15.75">
      <c r="A649" s="13">
        <v>61636</v>
      </c>
      <c r="B649" s="41">
        <f t="shared" si="1"/>
        <v>30</v>
      </c>
      <c r="C649" s="32">
        <v>194.20500000000001</v>
      </c>
      <c r="D649" s="32">
        <v>267.46600000000001</v>
      </c>
      <c r="E649" s="38">
        <v>812.32899999999995</v>
      </c>
      <c r="F649" s="32">
        <v>1274</v>
      </c>
      <c r="G649" s="32">
        <v>50</v>
      </c>
      <c r="H649" s="40">
        <v>600</v>
      </c>
      <c r="I649" s="32">
        <v>695</v>
      </c>
      <c r="J649" s="32">
        <v>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</row>
    <row r="650" spans="1:20" ht="15.75">
      <c r="A650" s="13">
        <v>61667</v>
      </c>
      <c r="B650" s="41">
        <f t="shared" si="1"/>
        <v>31</v>
      </c>
      <c r="C650" s="32">
        <v>131.881</v>
      </c>
      <c r="D650" s="32">
        <v>277.16699999999997</v>
      </c>
      <c r="E650" s="38">
        <v>829.952</v>
      </c>
      <c r="F650" s="32">
        <v>1239</v>
      </c>
      <c r="G650" s="32">
        <v>75</v>
      </c>
      <c r="H650" s="40">
        <v>600</v>
      </c>
      <c r="I650" s="32">
        <v>695</v>
      </c>
      <c r="J650" s="32">
        <v>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</row>
    <row r="651" spans="1:20" ht="15.75">
      <c r="A651" s="13">
        <v>61697</v>
      </c>
      <c r="B651" s="41">
        <f t="shared" si="1"/>
        <v>30</v>
      </c>
      <c r="C651" s="32">
        <v>122.58</v>
      </c>
      <c r="D651" s="32">
        <v>297.94099999999997</v>
      </c>
      <c r="E651" s="38">
        <v>729.47900000000004</v>
      </c>
      <c r="F651" s="32">
        <v>1150</v>
      </c>
      <c r="G651" s="32">
        <v>100</v>
      </c>
      <c r="H651" s="40">
        <v>600</v>
      </c>
      <c r="I651" s="32">
        <v>695</v>
      </c>
      <c r="J651" s="32">
        <v>50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</row>
    <row r="652" spans="1:20" ht="15.75">
      <c r="A652" s="13">
        <v>61728</v>
      </c>
      <c r="B652" s="41">
        <f t="shared" si="1"/>
        <v>31</v>
      </c>
      <c r="C652" s="32">
        <v>122.58</v>
      </c>
      <c r="D652" s="32">
        <v>297.94099999999997</v>
      </c>
      <c r="E652" s="38">
        <v>729.47900000000004</v>
      </c>
      <c r="F652" s="32">
        <v>1150</v>
      </c>
      <c r="G652" s="32">
        <v>100</v>
      </c>
      <c r="H652" s="40">
        <v>600</v>
      </c>
      <c r="I652" s="32">
        <v>695</v>
      </c>
      <c r="J652" s="32">
        <v>50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</row>
    <row r="653" spans="1:20" ht="15.75">
      <c r="A653" s="13">
        <v>61759</v>
      </c>
      <c r="B653" s="41">
        <f t="shared" si="1"/>
        <v>31</v>
      </c>
      <c r="C653" s="32">
        <v>122.58</v>
      </c>
      <c r="D653" s="32">
        <v>297.94099999999997</v>
      </c>
      <c r="E653" s="38">
        <v>729.47900000000004</v>
      </c>
      <c r="F653" s="32">
        <v>1150</v>
      </c>
      <c r="G653" s="32">
        <v>100</v>
      </c>
      <c r="H653" s="40">
        <v>600</v>
      </c>
      <c r="I653" s="32">
        <v>695</v>
      </c>
      <c r="J653" s="32">
        <v>50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</row>
    <row r="654" spans="1:20" ht="15.75">
      <c r="A654" s="13">
        <v>61787</v>
      </c>
      <c r="B654" s="41">
        <f t="shared" si="1"/>
        <v>28</v>
      </c>
      <c r="C654" s="32">
        <v>122.58</v>
      </c>
      <c r="D654" s="32">
        <v>297.94099999999997</v>
      </c>
      <c r="E654" s="38">
        <v>729.47900000000004</v>
      </c>
      <c r="F654" s="32">
        <v>1150</v>
      </c>
      <c r="G654" s="32">
        <v>100</v>
      </c>
      <c r="H654" s="40">
        <v>600</v>
      </c>
      <c r="I654" s="32">
        <v>695</v>
      </c>
      <c r="J654" s="32">
        <v>50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</row>
    <row r="655" spans="1:20" ht="15.75">
      <c r="A655" s="13">
        <v>61818</v>
      </c>
      <c r="B655" s="41">
        <f t="shared" si="1"/>
        <v>31</v>
      </c>
      <c r="C655" s="32">
        <v>122.58</v>
      </c>
      <c r="D655" s="32">
        <v>297.94099999999997</v>
      </c>
      <c r="E655" s="38">
        <v>729.47900000000004</v>
      </c>
      <c r="F655" s="32">
        <v>1150</v>
      </c>
      <c r="G655" s="32">
        <v>100</v>
      </c>
      <c r="H655" s="40">
        <v>600</v>
      </c>
      <c r="I655" s="32">
        <v>695</v>
      </c>
      <c r="J655" s="32">
        <v>50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</row>
    <row r="656" spans="1:20" ht="15.75">
      <c r="A656" s="13">
        <v>61848</v>
      </c>
      <c r="B656" s="41">
        <f t="shared" si="1"/>
        <v>30</v>
      </c>
      <c r="C656" s="32">
        <v>141.29300000000001</v>
      </c>
      <c r="D656" s="32">
        <v>267.99299999999999</v>
      </c>
      <c r="E656" s="38">
        <v>829.71400000000006</v>
      </c>
      <c r="F656" s="32">
        <v>1239</v>
      </c>
      <c r="G656" s="32">
        <v>100</v>
      </c>
      <c r="H656" s="40">
        <v>600</v>
      </c>
      <c r="I656" s="32">
        <v>695</v>
      </c>
      <c r="J656" s="32">
        <v>50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</row>
    <row r="657" spans="1:20" ht="15.75">
      <c r="A657" s="13">
        <v>61879</v>
      </c>
      <c r="B657" s="41">
        <f t="shared" si="1"/>
        <v>31</v>
      </c>
      <c r="C657" s="32">
        <v>194.20500000000001</v>
      </c>
      <c r="D657" s="32">
        <v>267.46600000000001</v>
      </c>
      <c r="E657" s="38">
        <v>812.32899999999995</v>
      </c>
      <c r="F657" s="32">
        <v>1274</v>
      </c>
      <c r="G657" s="32">
        <v>75</v>
      </c>
      <c r="H657" s="40">
        <v>600</v>
      </c>
      <c r="I657" s="32">
        <v>695</v>
      </c>
      <c r="J657" s="32">
        <v>50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</row>
    <row r="658" spans="1:20" ht="15.75">
      <c r="A658" s="13">
        <v>61909</v>
      </c>
      <c r="B658" s="41">
        <f t="shared" si="1"/>
        <v>30</v>
      </c>
      <c r="C658" s="32">
        <v>194.20500000000001</v>
      </c>
      <c r="D658" s="32">
        <v>267.46600000000001</v>
      </c>
      <c r="E658" s="38">
        <v>812.32899999999995</v>
      </c>
      <c r="F658" s="32">
        <v>1274</v>
      </c>
      <c r="G658" s="32">
        <v>50</v>
      </c>
      <c r="H658" s="40">
        <v>600</v>
      </c>
      <c r="I658" s="32">
        <v>695</v>
      </c>
      <c r="J658" s="32">
        <v>50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</row>
    <row r="659" spans="1:20" ht="15.75">
      <c r="A659" s="13">
        <v>61940</v>
      </c>
      <c r="B659" s="41">
        <f t="shared" si="1"/>
        <v>31</v>
      </c>
      <c r="C659" s="32">
        <v>194.20500000000001</v>
      </c>
      <c r="D659" s="32">
        <v>267.46600000000001</v>
      </c>
      <c r="E659" s="38">
        <v>812.32899999999995</v>
      </c>
      <c r="F659" s="32">
        <v>1274</v>
      </c>
      <c r="G659" s="32">
        <v>50</v>
      </c>
      <c r="H659" s="40">
        <v>600</v>
      </c>
      <c r="I659" s="32">
        <v>695</v>
      </c>
      <c r="J659" s="32">
        <v>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</row>
    <row r="660" spans="1:20" ht="15.75">
      <c r="A660" s="13">
        <v>61971</v>
      </c>
      <c r="B660" s="41">
        <f t="shared" si="1"/>
        <v>31</v>
      </c>
      <c r="C660" s="32">
        <v>194.20500000000001</v>
      </c>
      <c r="D660" s="32">
        <v>267.46600000000001</v>
      </c>
      <c r="E660" s="38">
        <v>812.32899999999995</v>
      </c>
      <c r="F660" s="32">
        <v>1274</v>
      </c>
      <c r="G660" s="32">
        <v>50</v>
      </c>
      <c r="H660" s="40">
        <v>600</v>
      </c>
      <c r="I660" s="32">
        <v>695</v>
      </c>
      <c r="J660" s="32">
        <v>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</row>
    <row r="661" spans="1:20" ht="15.75">
      <c r="A661" s="13">
        <v>62001</v>
      </c>
      <c r="B661" s="41">
        <f t="shared" si="1"/>
        <v>30</v>
      </c>
      <c r="C661" s="32">
        <v>194.20500000000001</v>
      </c>
      <c r="D661" s="32">
        <v>267.46600000000001</v>
      </c>
      <c r="E661" s="38">
        <v>812.32899999999995</v>
      </c>
      <c r="F661" s="32">
        <v>1274</v>
      </c>
      <c r="G661" s="32">
        <v>50</v>
      </c>
      <c r="H661" s="40">
        <v>600</v>
      </c>
      <c r="I661" s="32">
        <v>695</v>
      </c>
      <c r="J661" s="32">
        <v>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</row>
    <row r="662" spans="1:20" ht="15.75">
      <c r="A662" s="13">
        <v>62032</v>
      </c>
      <c r="B662" s="41">
        <f t="shared" si="1"/>
        <v>31</v>
      </c>
      <c r="C662" s="32">
        <v>131.881</v>
      </c>
      <c r="D662" s="32">
        <v>277.16699999999997</v>
      </c>
      <c r="E662" s="38">
        <v>829.952</v>
      </c>
      <c r="F662" s="32">
        <v>1239</v>
      </c>
      <c r="G662" s="32">
        <v>75</v>
      </c>
      <c r="H662" s="40">
        <v>600</v>
      </c>
      <c r="I662" s="32">
        <v>695</v>
      </c>
      <c r="J662" s="32">
        <v>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</row>
    <row r="663" spans="1:20" ht="15.75">
      <c r="A663" s="13">
        <v>62062</v>
      </c>
      <c r="B663" s="41">
        <f t="shared" si="1"/>
        <v>30</v>
      </c>
      <c r="C663" s="32">
        <v>122.58</v>
      </c>
      <c r="D663" s="32">
        <v>297.94099999999997</v>
      </c>
      <c r="E663" s="38">
        <v>729.47900000000004</v>
      </c>
      <c r="F663" s="32">
        <v>1150</v>
      </c>
      <c r="G663" s="32">
        <v>100</v>
      </c>
      <c r="H663" s="40">
        <v>600</v>
      </c>
      <c r="I663" s="32">
        <v>695</v>
      </c>
      <c r="J663" s="32">
        <v>50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</row>
    <row r="664" spans="1:20" ht="15.75">
      <c r="A664" s="13">
        <v>62093</v>
      </c>
      <c r="B664" s="41">
        <f t="shared" si="1"/>
        <v>31</v>
      </c>
      <c r="C664" s="32">
        <v>122.58</v>
      </c>
      <c r="D664" s="32">
        <v>297.94099999999997</v>
      </c>
      <c r="E664" s="38">
        <v>729.47900000000004</v>
      </c>
      <c r="F664" s="32">
        <v>1150</v>
      </c>
      <c r="G664" s="32">
        <v>100</v>
      </c>
      <c r="H664" s="40">
        <v>600</v>
      </c>
      <c r="I664" s="32">
        <v>695</v>
      </c>
      <c r="J664" s="32">
        <v>50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</row>
    <row r="665" spans="1:20" ht="15.75">
      <c r="A665" s="13">
        <v>62124</v>
      </c>
      <c r="B665" s="41">
        <f t="shared" si="1"/>
        <v>31</v>
      </c>
      <c r="C665" s="32">
        <v>122.58</v>
      </c>
      <c r="D665" s="32">
        <v>297.94099999999997</v>
      </c>
      <c r="E665" s="38">
        <v>729.47900000000004</v>
      </c>
      <c r="F665" s="32">
        <v>1150</v>
      </c>
      <c r="G665" s="32">
        <v>100</v>
      </c>
      <c r="H665" s="40">
        <v>600</v>
      </c>
      <c r="I665" s="32">
        <v>695</v>
      </c>
      <c r="J665" s="32">
        <v>50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</row>
    <row r="666" spans="1:20" ht="15.75">
      <c r="A666" s="13">
        <v>62152</v>
      </c>
      <c r="B666" s="41">
        <f t="shared" si="1"/>
        <v>28</v>
      </c>
      <c r="C666" s="32">
        <v>122.58</v>
      </c>
      <c r="D666" s="32">
        <v>297.94099999999997</v>
      </c>
      <c r="E666" s="38">
        <v>729.47900000000004</v>
      </c>
      <c r="F666" s="32">
        <v>1150</v>
      </c>
      <c r="G666" s="32">
        <v>100</v>
      </c>
      <c r="H666" s="40">
        <v>600</v>
      </c>
      <c r="I666" s="32">
        <v>695</v>
      </c>
      <c r="J666" s="32">
        <v>50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</row>
    <row r="667" spans="1:20" ht="15.75">
      <c r="A667" s="13">
        <v>62183</v>
      </c>
      <c r="B667" s="41">
        <f t="shared" si="1"/>
        <v>31</v>
      </c>
      <c r="C667" s="32">
        <v>122.58</v>
      </c>
      <c r="D667" s="32">
        <v>297.94099999999997</v>
      </c>
      <c r="E667" s="38">
        <v>729.47900000000004</v>
      </c>
      <c r="F667" s="32">
        <v>1150</v>
      </c>
      <c r="G667" s="32">
        <v>100</v>
      </c>
      <c r="H667" s="40">
        <v>600</v>
      </c>
      <c r="I667" s="32">
        <v>695</v>
      </c>
      <c r="J667" s="32">
        <v>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</row>
    <row r="668" spans="1:20" ht="15.75">
      <c r="A668" s="13">
        <v>62213</v>
      </c>
      <c r="B668" s="41">
        <f t="shared" si="1"/>
        <v>30</v>
      </c>
      <c r="C668" s="32">
        <v>141.29300000000001</v>
      </c>
      <c r="D668" s="32">
        <v>267.99299999999999</v>
      </c>
      <c r="E668" s="38">
        <v>829.71400000000006</v>
      </c>
      <c r="F668" s="32">
        <v>1239</v>
      </c>
      <c r="G668" s="32">
        <v>100</v>
      </c>
      <c r="H668" s="40">
        <v>600</v>
      </c>
      <c r="I668" s="32">
        <v>695</v>
      </c>
      <c r="J668" s="32">
        <v>50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</row>
    <row r="669" spans="1:20" ht="15.75">
      <c r="A669" s="13">
        <v>62244</v>
      </c>
      <c r="B669" s="41">
        <f t="shared" si="1"/>
        <v>31</v>
      </c>
      <c r="C669" s="32">
        <v>194.20500000000001</v>
      </c>
      <c r="D669" s="32">
        <v>267.46600000000001</v>
      </c>
      <c r="E669" s="38">
        <v>812.32899999999995</v>
      </c>
      <c r="F669" s="32">
        <v>1274</v>
      </c>
      <c r="G669" s="32">
        <v>75</v>
      </c>
      <c r="H669" s="40">
        <v>600</v>
      </c>
      <c r="I669" s="32">
        <v>695</v>
      </c>
      <c r="J669" s="32">
        <v>50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</row>
    <row r="670" spans="1:20" ht="15.75">
      <c r="A670" s="13">
        <v>62274</v>
      </c>
      <c r="B670" s="41">
        <f t="shared" si="1"/>
        <v>30</v>
      </c>
      <c r="C670" s="32">
        <v>194.20500000000001</v>
      </c>
      <c r="D670" s="32">
        <v>267.46600000000001</v>
      </c>
      <c r="E670" s="38">
        <v>812.32899999999995</v>
      </c>
      <c r="F670" s="32">
        <v>1274</v>
      </c>
      <c r="G670" s="32">
        <v>50</v>
      </c>
      <c r="H670" s="40">
        <v>600</v>
      </c>
      <c r="I670" s="32">
        <v>695</v>
      </c>
      <c r="J670" s="32">
        <v>50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</row>
    <row r="671" spans="1:20" ht="15.75">
      <c r="A671" s="13">
        <v>62305</v>
      </c>
      <c r="B671" s="41">
        <f t="shared" si="1"/>
        <v>31</v>
      </c>
      <c r="C671" s="32">
        <v>194.20500000000001</v>
      </c>
      <c r="D671" s="32">
        <v>267.46600000000001</v>
      </c>
      <c r="E671" s="38">
        <v>812.32899999999995</v>
      </c>
      <c r="F671" s="32">
        <v>1274</v>
      </c>
      <c r="G671" s="32">
        <v>50</v>
      </c>
      <c r="H671" s="40">
        <v>600</v>
      </c>
      <c r="I671" s="32">
        <v>695</v>
      </c>
      <c r="J671" s="32">
        <v>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</row>
    <row r="672" spans="1:20" ht="15.75">
      <c r="A672" s="13">
        <v>62336</v>
      </c>
      <c r="B672" s="41">
        <f t="shared" si="1"/>
        <v>31</v>
      </c>
      <c r="C672" s="32">
        <v>194.20500000000001</v>
      </c>
      <c r="D672" s="32">
        <v>267.46600000000001</v>
      </c>
      <c r="E672" s="38">
        <v>812.32899999999995</v>
      </c>
      <c r="F672" s="32">
        <v>1274</v>
      </c>
      <c r="G672" s="32">
        <v>50</v>
      </c>
      <c r="H672" s="40">
        <v>600</v>
      </c>
      <c r="I672" s="32">
        <v>695</v>
      </c>
      <c r="J672" s="32">
        <v>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</row>
    <row r="673" spans="1:20" ht="15.75">
      <c r="A673" s="13">
        <v>62366</v>
      </c>
      <c r="B673" s="41">
        <f t="shared" si="1"/>
        <v>30</v>
      </c>
      <c r="C673" s="32">
        <v>194.20500000000001</v>
      </c>
      <c r="D673" s="32">
        <v>267.46600000000001</v>
      </c>
      <c r="E673" s="38">
        <v>812.32899999999995</v>
      </c>
      <c r="F673" s="32">
        <v>1274</v>
      </c>
      <c r="G673" s="32">
        <v>50</v>
      </c>
      <c r="H673" s="40">
        <v>600</v>
      </c>
      <c r="I673" s="32">
        <v>695</v>
      </c>
      <c r="J673" s="32">
        <v>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</row>
    <row r="674" spans="1:20" ht="15.75">
      <c r="A674" s="13">
        <v>62397</v>
      </c>
      <c r="B674" s="41">
        <f t="shared" si="1"/>
        <v>31</v>
      </c>
      <c r="C674" s="32">
        <v>131.881</v>
      </c>
      <c r="D674" s="32">
        <v>277.16699999999997</v>
      </c>
      <c r="E674" s="38">
        <v>829.952</v>
      </c>
      <c r="F674" s="32">
        <v>1239</v>
      </c>
      <c r="G674" s="32">
        <v>75</v>
      </c>
      <c r="H674" s="40">
        <v>600</v>
      </c>
      <c r="I674" s="32">
        <v>695</v>
      </c>
      <c r="J674" s="32">
        <v>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</row>
    <row r="675" spans="1:20" ht="15.75">
      <c r="A675" s="13">
        <v>62427</v>
      </c>
      <c r="B675" s="41">
        <f t="shared" si="1"/>
        <v>30</v>
      </c>
      <c r="C675" s="32">
        <v>122.58</v>
      </c>
      <c r="D675" s="32">
        <v>297.94099999999997</v>
      </c>
      <c r="E675" s="38">
        <v>729.47900000000004</v>
      </c>
      <c r="F675" s="32">
        <v>1150</v>
      </c>
      <c r="G675" s="32">
        <v>100</v>
      </c>
      <c r="H675" s="40">
        <v>600</v>
      </c>
      <c r="I675" s="32">
        <v>695</v>
      </c>
      <c r="J675" s="32">
        <v>50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</row>
    <row r="676" spans="1:20" ht="15.75">
      <c r="A676" s="13">
        <v>62458</v>
      </c>
      <c r="B676" s="41">
        <f t="shared" si="1"/>
        <v>31</v>
      </c>
      <c r="C676" s="32">
        <v>122.58</v>
      </c>
      <c r="D676" s="32">
        <v>297.94099999999997</v>
      </c>
      <c r="E676" s="38">
        <v>729.47900000000004</v>
      </c>
      <c r="F676" s="32">
        <v>1150</v>
      </c>
      <c r="G676" s="32">
        <v>100</v>
      </c>
      <c r="H676" s="40">
        <v>600</v>
      </c>
      <c r="I676" s="32">
        <v>695</v>
      </c>
      <c r="J676" s="32">
        <v>50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</row>
    <row r="677" spans="1:20" ht="15.75">
      <c r="A677" s="13">
        <v>62489</v>
      </c>
      <c r="B677" s="41">
        <f t="shared" si="1"/>
        <v>31</v>
      </c>
      <c r="C677" s="32">
        <v>122.58</v>
      </c>
      <c r="D677" s="32">
        <v>297.94099999999997</v>
      </c>
      <c r="E677" s="38">
        <v>729.47900000000004</v>
      </c>
      <c r="F677" s="32">
        <v>1150</v>
      </c>
      <c r="G677" s="32">
        <v>100</v>
      </c>
      <c r="H677" s="40">
        <v>600</v>
      </c>
      <c r="I677" s="32">
        <v>695</v>
      </c>
      <c r="J677" s="32">
        <v>50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</row>
    <row r="678" spans="1:20" ht="15.75">
      <c r="A678" s="13">
        <v>62517</v>
      </c>
      <c r="B678" s="41">
        <f t="shared" si="1"/>
        <v>28</v>
      </c>
      <c r="C678" s="32">
        <v>122.58</v>
      </c>
      <c r="D678" s="32">
        <v>297.94099999999997</v>
      </c>
      <c r="E678" s="38">
        <v>729.47900000000004</v>
      </c>
      <c r="F678" s="32">
        <v>1150</v>
      </c>
      <c r="G678" s="32">
        <v>100</v>
      </c>
      <c r="H678" s="40">
        <v>600</v>
      </c>
      <c r="I678" s="32">
        <v>695</v>
      </c>
      <c r="J678" s="32">
        <v>50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</row>
    <row r="679" spans="1:20" ht="15.75">
      <c r="A679" s="13">
        <v>62548</v>
      </c>
      <c r="B679" s="41">
        <f t="shared" si="1"/>
        <v>31</v>
      </c>
      <c r="C679" s="32">
        <v>122.58</v>
      </c>
      <c r="D679" s="32">
        <v>297.94099999999997</v>
      </c>
      <c r="E679" s="38">
        <v>729.47900000000004</v>
      </c>
      <c r="F679" s="32">
        <v>1150</v>
      </c>
      <c r="G679" s="32">
        <v>100</v>
      </c>
      <c r="H679" s="40">
        <v>600</v>
      </c>
      <c r="I679" s="32">
        <v>695</v>
      </c>
      <c r="J679" s="32">
        <v>50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</row>
    <row r="680" spans="1:20" ht="15.75">
      <c r="A680" s="13">
        <v>62578</v>
      </c>
      <c r="B680" s="41">
        <f t="shared" si="1"/>
        <v>30</v>
      </c>
      <c r="C680" s="32">
        <v>141.29300000000001</v>
      </c>
      <c r="D680" s="32">
        <v>267.99299999999999</v>
      </c>
      <c r="E680" s="38">
        <v>829.71400000000006</v>
      </c>
      <c r="F680" s="32">
        <v>1239</v>
      </c>
      <c r="G680" s="32">
        <v>100</v>
      </c>
      <c r="H680" s="40">
        <v>600</v>
      </c>
      <c r="I680" s="32">
        <v>695</v>
      </c>
      <c r="J680" s="32">
        <v>50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</row>
    <row r="681" spans="1:20" ht="15.75">
      <c r="A681" s="13">
        <v>62609</v>
      </c>
      <c r="B681" s="41">
        <f t="shared" si="1"/>
        <v>31</v>
      </c>
      <c r="C681" s="32">
        <v>194.20500000000001</v>
      </c>
      <c r="D681" s="32">
        <v>267.46600000000001</v>
      </c>
      <c r="E681" s="38">
        <v>812.32899999999995</v>
      </c>
      <c r="F681" s="32">
        <v>1274</v>
      </c>
      <c r="G681" s="32">
        <v>75</v>
      </c>
      <c r="H681" s="40">
        <v>600</v>
      </c>
      <c r="I681" s="32">
        <v>695</v>
      </c>
      <c r="J681" s="32">
        <v>50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</row>
    <row r="682" spans="1:20" ht="15.75">
      <c r="A682" s="13">
        <v>62639</v>
      </c>
      <c r="B682" s="41">
        <f t="shared" si="1"/>
        <v>30</v>
      </c>
      <c r="C682" s="32">
        <v>194.20500000000001</v>
      </c>
      <c r="D682" s="32">
        <v>267.46600000000001</v>
      </c>
      <c r="E682" s="38">
        <v>812.32899999999995</v>
      </c>
      <c r="F682" s="32">
        <v>1274</v>
      </c>
      <c r="G682" s="32">
        <v>50</v>
      </c>
      <c r="H682" s="40">
        <v>600</v>
      </c>
      <c r="I682" s="32">
        <v>695</v>
      </c>
      <c r="J682" s="32">
        <v>50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</row>
    <row r="683" spans="1:20" ht="15.75">
      <c r="A683" s="13">
        <v>62670</v>
      </c>
      <c r="B683" s="41">
        <f t="shared" si="1"/>
        <v>31</v>
      </c>
      <c r="C683" s="32">
        <v>194.20500000000001</v>
      </c>
      <c r="D683" s="32">
        <v>267.46600000000001</v>
      </c>
      <c r="E683" s="38">
        <v>812.32899999999995</v>
      </c>
      <c r="F683" s="32">
        <v>1274</v>
      </c>
      <c r="G683" s="32">
        <v>50</v>
      </c>
      <c r="H683" s="40">
        <v>600</v>
      </c>
      <c r="I683" s="32">
        <v>695</v>
      </c>
      <c r="J683" s="32">
        <v>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</row>
    <row r="684" spans="1:20" ht="15.75">
      <c r="A684" s="13">
        <v>62701</v>
      </c>
      <c r="B684" s="41">
        <f t="shared" si="1"/>
        <v>31</v>
      </c>
      <c r="C684" s="32">
        <v>194.20500000000001</v>
      </c>
      <c r="D684" s="32">
        <v>267.46600000000001</v>
      </c>
      <c r="E684" s="38">
        <v>812.32899999999995</v>
      </c>
      <c r="F684" s="32">
        <v>1274</v>
      </c>
      <c r="G684" s="32">
        <v>50</v>
      </c>
      <c r="H684" s="40">
        <v>600</v>
      </c>
      <c r="I684" s="32">
        <v>695</v>
      </c>
      <c r="J684" s="32">
        <v>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</row>
    <row r="685" spans="1:20" ht="15.75">
      <c r="A685" s="13">
        <v>62731</v>
      </c>
      <c r="B685" s="41">
        <f t="shared" si="1"/>
        <v>30</v>
      </c>
      <c r="C685" s="32">
        <v>194.20500000000001</v>
      </c>
      <c r="D685" s="32">
        <v>267.46600000000001</v>
      </c>
      <c r="E685" s="38">
        <v>812.32899999999995</v>
      </c>
      <c r="F685" s="32">
        <v>1274</v>
      </c>
      <c r="G685" s="32">
        <v>50</v>
      </c>
      <c r="H685" s="40">
        <v>600</v>
      </c>
      <c r="I685" s="32">
        <v>695</v>
      </c>
      <c r="J685" s="32">
        <v>0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</row>
    <row r="686" spans="1:20" ht="15.75">
      <c r="A686" s="13">
        <v>62762</v>
      </c>
      <c r="B686" s="41">
        <f t="shared" si="1"/>
        <v>31</v>
      </c>
      <c r="C686" s="32">
        <v>131.881</v>
      </c>
      <c r="D686" s="32">
        <v>277.16699999999997</v>
      </c>
      <c r="E686" s="38">
        <v>829.952</v>
      </c>
      <c r="F686" s="32">
        <v>1239</v>
      </c>
      <c r="G686" s="32">
        <v>75</v>
      </c>
      <c r="H686" s="40">
        <v>600</v>
      </c>
      <c r="I686" s="32">
        <v>695</v>
      </c>
      <c r="J686" s="32">
        <v>0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</row>
    <row r="687" spans="1:20" ht="15.75">
      <c r="A687" s="13">
        <v>62792</v>
      </c>
      <c r="B687" s="41">
        <f t="shared" si="1"/>
        <v>30</v>
      </c>
      <c r="C687" s="32">
        <v>122.58</v>
      </c>
      <c r="D687" s="32">
        <v>297.94099999999997</v>
      </c>
      <c r="E687" s="38">
        <v>729.47900000000004</v>
      </c>
      <c r="F687" s="32">
        <v>1150</v>
      </c>
      <c r="G687" s="32">
        <v>100</v>
      </c>
      <c r="H687" s="40">
        <v>600</v>
      </c>
      <c r="I687" s="32">
        <v>695</v>
      </c>
      <c r="J687" s="32">
        <v>50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</row>
    <row r="688" spans="1:20" ht="15.75">
      <c r="A688" s="13">
        <v>62823</v>
      </c>
      <c r="B688" s="41">
        <f t="shared" si="1"/>
        <v>31</v>
      </c>
      <c r="C688" s="32">
        <v>122.58</v>
      </c>
      <c r="D688" s="32">
        <v>297.94099999999997</v>
      </c>
      <c r="E688" s="38">
        <v>729.47900000000004</v>
      </c>
      <c r="F688" s="32">
        <v>1150</v>
      </c>
      <c r="G688" s="32">
        <v>100</v>
      </c>
      <c r="H688" s="40">
        <v>600</v>
      </c>
      <c r="I688" s="32">
        <v>695</v>
      </c>
      <c r="J688" s="32">
        <v>50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</row>
    <row r="689" spans="1:20" ht="15.75">
      <c r="A689" s="13">
        <v>62854</v>
      </c>
      <c r="B689" s="41">
        <f t="shared" si="1"/>
        <v>31</v>
      </c>
      <c r="C689" s="32">
        <v>122.58</v>
      </c>
      <c r="D689" s="32">
        <v>297.94099999999997</v>
      </c>
      <c r="E689" s="38">
        <v>729.47900000000004</v>
      </c>
      <c r="F689" s="32">
        <v>1150</v>
      </c>
      <c r="G689" s="32">
        <v>100</v>
      </c>
      <c r="H689" s="40">
        <v>600</v>
      </c>
      <c r="I689" s="32">
        <v>695</v>
      </c>
      <c r="J689" s="32">
        <v>50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</row>
    <row r="690" spans="1:20" ht="15.75">
      <c r="A690" s="13">
        <v>62883</v>
      </c>
      <c r="B690" s="41">
        <f t="shared" si="1"/>
        <v>29</v>
      </c>
      <c r="C690" s="32">
        <v>122.58</v>
      </c>
      <c r="D690" s="32">
        <v>297.94099999999997</v>
      </c>
      <c r="E690" s="38">
        <v>729.47900000000004</v>
      </c>
      <c r="F690" s="32">
        <v>1150</v>
      </c>
      <c r="G690" s="32">
        <v>100</v>
      </c>
      <c r="H690" s="40">
        <v>600</v>
      </c>
      <c r="I690" s="32">
        <v>695</v>
      </c>
      <c r="J690" s="32">
        <v>50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</row>
    <row r="691" spans="1:20" ht="15.75">
      <c r="A691" s="13">
        <v>62914</v>
      </c>
      <c r="B691" s="41">
        <f t="shared" si="1"/>
        <v>31</v>
      </c>
      <c r="C691" s="32">
        <v>122.58</v>
      </c>
      <c r="D691" s="32">
        <v>297.94099999999997</v>
      </c>
      <c r="E691" s="38">
        <v>729.47900000000004</v>
      </c>
      <c r="F691" s="32">
        <v>1150</v>
      </c>
      <c r="G691" s="32">
        <v>100</v>
      </c>
      <c r="H691" s="40">
        <v>600</v>
      </c>
      <c r="I691" s="32">
        <v>695</v>
      </c>
      <c r="J691" s="32">
        <v>50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</row>
    <row r="692" spans="1:20" ht="15.75">
      <c r="A692" s="13">
        <v>62944</v>
      </c>
      <c r="B692" s="41">
        <f t="shared" si="1"/>
        <v>30</v>
      </c>
      <c r="C692" s="32">
        <v>141.29300000000001</v>
      </c>
      <c r="D692" s="32">
        <v>267.99299999999999</v>
      </c>
      <c r="E692" s="38">
        <v>829.71400000000006</v>
      </c>
      <c r="F692" s="32">
        <v>1239</v>
      </c>
      <c r="G692" s="32">
        <v>100</v>
      </c>
      <c r="H692" s="40">
        <v>600</v>
      </c>
      <c r="I692" s="32">
        <v>695</v>
      </c>
      <c r="J692" s="32">
        <v>50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</row>
    <row r="693" spans="1:20" ht="15.75">
      <c r="A693" s="13">
        <v>62975</v>
      </c>
      <c r="B693" s="41">
        <f t="shared" si="1"/>
        <v>31</v>
      </c>
      <c r="C693" s="32">
        <v>194.20500000000001</v>
      </c>
      <c r="D693" s="32">
        <v>267.46600000000001</v>
      </c>
      <c r="E693" s="38">
        <v>812.32899999999995</v>
      </c>
      <c r="F693" s="32">
        <v>1274</v>
      </c>
      <c r="G693" s="32">
        <v>75</v>
      </c>
      <c r="H693" s="40">
        <v>600</v>
      </c>
      <c r="I693" s="32">
        <v>695</v>
      </c>
      <c r="J693" s="32">
        <v>50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</row>
    <row r="694" spans="1:20" ht="15.75">
      <c r="A694" s="13">
        <v>63005</v>
      </c>
      <c r="B694" s="41">
        <f t="shared" si="1"/>
        <v>30</v>
      </c>
      <c r="C694" s="32">
        <v>194.20500000000001</v>
      </c>
      <c r="D694" s="32">
        <v>267.46600000000001</v>
      </c>
      <c r="E694" s="38">
        <v>812.32899999999995</v>
      </c>
      <c r="F694" s="32">
        <v>1274</v>
      </c>
      <c r="G694" s="32">
        <v>50</v>
      </c>
      <c r="H694" s="40">
        <v>600</v>
      </c>
      <c r="I694" s="32">
        <v>695</v>
      </c>
      <c r="J694" s="32">
        <v>50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</row>
    <row r="695" spans="1:20" ht="15.75">
      <c r="A695" s="13">
        <v>63036</v>
      </c>
      <c r="B695" s="41">
        <f t="shared" si="1"/>
        <v>31</v>
      </c>
      <c r="C695" s="32">
        <v>194.20500000000001</v>
      </c>
      <c r="D695" s="32">
        <v>267.46600000000001</v>
      </c>
      <c r="E695" s="38">
        <v>812.32899999999995</v>
      </c>
      <c r="F695" s="32">
        <v>1274</v>
      </c>
      <c r="G695" s="32">
        <v>50</v>
      </c>
      <c r="H695" s="40">
        <v>600</v>
      </c>
      <c r="I695" s="32">
        <v>695</v>
      </c>
      <c r="J695" s="32">
        <v>0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</row>
    <row r="696" spans="1:20" ht="15.75">
      <c r="A696" s="13">
        <v>63067</v>
      </c>
      <c r="B696" s="41">
        <f t="shared" si="1"/>
        <v>31</v>
      </c>
      <c r="C696" s="32">
        <v>194.20500000000001</v>
      </c>
      <c r="D696" s="32">
        <v>267.46600000000001</v>
      </c>
      <c r="E696" s="38">
        <v>812.32899999999995</v>
      </c>
      <c r="F696" s="32">
        <v>1274</v>
      </c>
      <c r="G696" s="32">
        <v>50</v>
      </c>
      <c r="H696" s="40">
        <v>600</v>
      </c>
      <c r="I696" s="32">
        <v>695</v>
      </c>
      <c r="J696" s="32">
        <v>0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</row>
    <row r="697" spans="1:20" ht="15.75">
      <c r="A697" s="13">
        <v>63097</v>
      </c>
      <c r="B697" s="41">
        <f t="shared" ref="B697:B760" si="2">EOMONTH(A697,0)-EOMONTH(A697,-1)</f>
        <v>30</v>
      </c>
      <c r="C697" s="32">
        <v>194.20500000000001</v>
      </c>
      <c r="D697" s="32">
        <v>267.46600000000001</v>
      </c>
      <c r="E697" s="38">
        <v>812.32899999999995</v>
      </c>
      <c r="F697" s="32">
        <v>1274</v>
      </c>
      <c r="G697" s="32">
        <v>50</v>
      </c>
      <c r="H697" s="40">
        <v>600</v>
      </c>
      <c r="I697" s="32">
        <v>695</v>
      </c>
      <c r="J697" s="32">
        <v>0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</row>
    <row r="698" spans="1:20" ht="15.75">
      <c r="A698" s="13">
        <v>63128</v>
      </c>
      <c r="B698" s="41">
        <f t="shared" si="2"/>
        <v>31</v>
      </c>
      <c r="C698" s="32">
        <v>131.881</v>
      </c>
      <c r="D698" s="32">
        <v>277.16699999999997</v>
      </c>
      <c r="E698" s="38">
        <v>829.952</v>
      </c>
      <c r="F698" s="32">
        <v>1239</v>
      </c>
      <c r="G698" s="32">
        <v>75</v>
      </c>
      <c r="H698" s="40">
        <v>600</v>
      </c>
      <c r="I698" s="32">
        <v>695</v>
      </c>
      <c r="J698" s="32">
        <v>0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</row>
    <row r="699" spans="1:20" ht="15.75">
      <c r="A699" s="13">
        <v>63158</v>
      </c>
      <c r="B699" s="41">
        <f t="shared" si="2"/>
        <v>30</v>
      </c>
      <c r="C699" s="32">
        <v>122.58</v>
      </c>
      <c r="D699" s="32">
        <v>297.94099999999997</v>
      </c>
      <c r="E699" s="38">
        <v>729.47900000000004</v>
      </c>
      <c r="F699" s="32">
        <v>1150</v>
      </c>
      <c r="G699" s="32">
        <v>100</v>
      </c>
      <c r="H699" s="40">
        <v>600</v>
      </c>
      <c r="I699" s="32">
        <v>695</v>
      </c>
      <c r="J699" s="32">
        <v>50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</row>
    <row r="700" spans="1:20" ht="15.75">
      <c r="A700" s="13">
        <v>63189</v>
      </c>
      <c r="B700" s="41">
        <f t="shared" si="2"/>
        <v>31</v>
      </c>
      <c r="C700" s="32">
        <v>122.58</v>
      </c>
      <c r="D700" s="32">
        <v>297.94099999999997</v>
      </c>
      <c r="E700" s="38">
        <v>729.47900000000004</v>
      </c>
      <c r="F700" s="32">
        <v>1150</v>
      </c>
      <c r="G700" s="32">
        <v>100</v>
      </c>
      <c r="H700" s="40">
        <v>600</v>
      </c>
      <c r="I700" s="32">
        <v>695</v>
      </c>
      <c r="J700" s="32">
        <v>50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</row>
    <row r="701" spans="1:20" ht="15.75">
      <c r="A701" s="13">
        <v>63220</v>
      </c>
      <c r="B701" s="41">
        <f t="shared" si="2"/>
        <v>31</v>
      </c>
      <c r="C701" s="32">
        <v>122.58</v>
      </c>
      <c r="D701" s="32">
        <v>297.94099999999997</v>
      </c>
      <c r="E701" s="38">
        <v>729.47900000000004</v>
      </c>
      <c r="F701" s="32">
        <v>1150</v>
      </c>
      <c r="G701" s="32">
        <v>100</v>
      </c>
      <c r="H701" s="40">
        <v>600</v>
      </c>
      <c r="I701" s="32">
        <v>695</v>
      </c>
      <c r="J701" s="32">
        <v>50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</row>
    <row r="702" spans="1:20" ht="15.75">
      <c r="A702" s="13">
        <v>63248</v>
      </c>
      <c r="B702" s="41">
        <f t="shared" si="2"/>
        <v>28</v>
      </c>
      <c r="C702" s="32">
        <v>122.58</v>
      </c>
      <c r="D702" s="32">
        <v>297.94099999999997</v>
      </c>
      <c r="E702" s="38">
        <v>729.47900000000004</v>
      </c>
      <c r="F702" s="32">
        <v>1150</v>
      </c>
      <c r="G702" s="32">
        <v>100</v>
      </c>
      <c r="H702" s="40">
        <v>600</v>
      </c>
      <c r="I702" s="32">
        <v>695</v>
      </c>
      <c r="J702" s="32">
        <v>50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</row>
    <row r="703" spans="1:20" ht="15.75">
      <c r="A703" s="13">
        <v>63279</v>
      </c>
      <c r="B703" s="41">
        <f t="shared" si="2"/>
        <v>31</v>
      </c>
      <c r="C703" s="32">
        <v>122.58</v>
      </c>
      <c r="D703" s="32">
        <v>297.94099999999997</v>
      </c>
      <c r="E703" s="38">
        <v>729.47900000000004</v>
      </c>
      <c r="F703" s="32">
        <v>1150</v>
      </c>
      <c r="G703" s="32">
        <v>100</v>
      </c>
      <c r="H703" s="40">
        <v>600</v>
      </c>
      <c r="I703" s="32">
        <v>695</v>
      </c>
      <c r="J703" s="32">
        <v>50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</row>
    <row r="704" spans="1:20" ht="15.75">
      <c r="A704" s="13">
        <v>63309</v>
      </c>
      <c r="B704" s="41">
        <f t="shared" si="2"/>
        <v>30</v>
      </c>
      <c r="C704" s="32">
        <v>141.29300000000001</v>
      </c>
      <c r="D704" s="32">
        <v>267.99299999999999</v>
      </c>
      <c r="E704" s="38">
        <v>829.71400000000006</v>
      </c>
      <c r="F704" s="32">
        <v>1239</v>
      </c>
      <c r="G704" s="32">
        <v>100</v>
      </c>
      <c r="H704" s="40">
        <v>600</v>
      </c>
      <c r="I704" s="32">
        <v>695</v>
      </c>
      <c r="J704" s="32">
        <v>50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</row>
    <row r="705" spans="1:20" ht="15.75">
      <c r="A705" s="13">
        <v>63340</v>
      </c>
      <c r="B705" s="41">
        <f t="shared" si="2"/>
        <v>31</v>
      </c>
      <c r="C705" s="32">
        <v>194.20500000000001</v>
      </c>
      <c r="D705" s="32">
        <v>267.46600000000001</v>
      </c>
      <c r="E705" s="38">
        <v>812.32899999999995</v>
      </c>
      <c r="F705" s="32">
        <v>1274</v>
      </c>
      <c r="G705" s="32">
        <v>75</v>
      </c>
      <c r="H705" s="40">
        <v>600</v>
      </c>
      <c r="I705" s="32">
        <v>695</v>
      </c>
      <c r="J705" s="32">
        <v>50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</row>
    <row r="706" spans="1:20" ht="15.75">
      <c r="A706" s="13">
        <v>63370</v>
      </c>
      <c r="B706" s="41">
        <f t="shared" si="2"/>
        <v>30</v>
      </c>
      <c r="C706" s="32">
        <v>194.20500000000001</v>
      </c>
      <c r="D706" s="32">
        <v>267.46600000000001</v>
      </c>
      <c r="E706" s="38">
        <v>812.32899999999995</v>
      </c>
      <c r="F706" s="32">
        <v>1274</v>
      </c>
      <c r="G706" s="32">
        <v>50</v>
      </c>
      <c r="H706" s="40">
        <v>600</v>
      </c>
      <c r="I706" s="32">
        <v>695</v>
      </c>
      <c r="J706" s="32">
        <v>50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</row>
    <row r="707" spans="1:20" ht="15.75">
      <c r="A707" s="13">
        <v>63401</v>
      </c>
      <c r="B707" s="41">
        <f t="shared" si="2"/>
        <v>31</v>
      </c>
      <c r="C707" s="32">
        <v>194.20500000000001</v>
      </c>
      <c r="D707" s="32">
        <v>267.46600000000001</v>
      </c>
      <c r="E707" s="38">
        <v>812.32899999999995</v>
      </c>
      <c r="F707" s="32">
        <v>1274</v>
      </c>
      <c r="G707" s="32">
        <v>50</v>
      </c>
      <c r="H707" s="40">
        <v>600</v>
      </c>
      <c r="I707" s="32">
        <v>695</v>
      </c>
      <c r="J707" s="32">
        <v>0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</row>
    <row r="708" spans="1:20" ht="15.75">
      <c r="A708" s="13">
        <v>63432</v>
      </c>
      <c r="B708" s="41">
        <f t="shared" si="2"/>
        <v>31</v>
      </c>
      <c r="C708" s="32">
        <v>194.20500000000001</v>
      </c>
      <c r="D708" s="32">
        <v>267.46600000000001</v>
      </c>
      <c r="E708" s="38">
        <v>812.32899999999995</v>
      </c>
      <c r="F708" s="32">
        <v>1274</v>
      </c>
      <c r="G708" s="32">
        <v>50</v>
      </c>
      <c r="H708" s="40">
        <v>600</v>
      </c>
      <c r="I708" s="32">
        <v>695</v>
      </c>
      <c r="J708" s="32">
        <v>0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</row>
    <row r="709" spans="1:20" ht="15.75">
      <c r="A709" s="13">
        <v>63462</v>
      </c>
      <c r="B709" s="41">
        <f t="shared" si="2"/>
        <v>30</v>
      </c>
      <c r="C709" s="32">
        <v>194.20500000000001</v>
      </c>
      <c r="D709" s="32">
        <v>267.46600000000001</v>
      </c>
      <c r="E709" s="38">
        <v>812.32899999999995</v>
      </c>
      <c r="F709" s="32">
        <v>1274</v>
      </c>
      <c r="G709" s="32">
        <v>50</v>
      </c>
      <c r="H709" s="40">
        <v>600</v>
      </c>
      <c r="I709" s="32">
        <v>695</v>
      </c>
      <c r="J709" s="32">
        <v>0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</row>
    <row r="710" spans="1:20" ht="15.75">
      <c r="A710" s="13">
        <v>63493</v>
      </c>
      <c r="B710" s="41">
        <f t="shared" si="2"/>
        <v>31</v>
      </c>
      <c r="C710" s="32">
        <v>131.881</v>
      </c>
      <c r="D710" s="32">
        <v>277.16699999999997</v>
      </c>
      <c r="E710" s="38">
        <v>829.952</v>
      </c>
      <c r="F710" s="32">
        <v>1239</v>
      </c>
      <c r="G710" s="32">
        <v>75</v>
      </c>
      <c r="H710" s="40">
        <v>600</v>
      </c>
      <c r="I710" s="32">
        <v>695</v>
      </c>
      <c r="J710" s="32">
        <v>0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</row>
    <row r="711" spans="1:20" ht="15.75">
      <c r="A711" s="13">
        <v>63523</v>
      </c>
      <c r="B711" s="41">
        <f t="shared" si="2"/>
        <v>30</v>
      </c>
      <c r="C711" s="32">
        <v>122.58</v>
      </c>
      <c r="D711" s="32">
        <v>297.94099999999997</v>
      </c>
      <c r="E711" s="38">
        <v>729.47900000000004</v>
      </c>
      <c r="F711" s="32">
        <v>1150</v>
      </c>
      <c r="G711" s="32">
        <v>100</v>
      </c>
      <c r="H711" s="40">
        <v>600</v>
      </c>
      <c r="I711" s="32">
        <v>695</v>
      </c>
      <c r="J711" s="32">
        <v>50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</row>
    <row r="712" spans="1:20" ht="15.75">
      <c r="A712" s="13">
        <v>63554</v>
      </c>
      <c r="B712" s="41">
        <f t="shared" si="2"/>
        <v>31</v>
      </c>
      <c r="C712" s="32">
        <v>122.58</v>
      </c>
      <c r="D712" s="32">
        <v>297.94099999999997</v>
      </c>
      <c r="E712" s="38">
        <v>729.47900000000004</v>
      </c>
      <c r="F712" s="32">
        <v>1150</v>
      </c>
      <c r="G712" s="32">
        <v>100</v>
      </c>
      <c r="H712" s="40">
        <v>600</v>
      </c>
      <c r="I712" s="32">
        <v>695</v>
      </c>
      <c r="J712" s="32">
        <v>50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</row>
    <row r="713" spans="1:20" ht="15.75">
      <c r="A713" s="13">
        <v>63585</v>
      </c>
      <c r="B713" s="41">
        <f t="shared" si="2"/>
        <v>31</v>
      </c>
      <c r="C713" s="32">
        <v>122.58</v>
      </c>
      <c r="D713" s="32">
        <v>297.94099999999997</v>
      </c>
      <c r="E713" s="38">
        <v>729.47900000000004</v>
      </c>
      <c r="F713" s="32">
        <v>1150</v>
      </c>
      <c r="G713" s="32">
        <v>100</v>
      </c>
      <c r="H713" s="40">
        <v>600</v>
      </c>
      <c r="I713" s="32">
        <v>695</v>
      </c>
      <c r="J713" s="32">
        <v>50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</row>
    <row r="714" spans="1:20" ht="15.75">
      <c r="A714" s="13">
        <v>63613</v>
      </c>
      <c r="B714" s="41">
        <f t="shared" si="2"/>
        <v>28</v>
      </c>
      <c r="C714" s="32">
        <v>122.58</v>
      </c>
      <c r="D714" s="32">
        <v>297.94099999999997</v>
      </c>
      <c r="E714" s="38">
        <v>729.47900000000004</v>
      </c>
      <c r="F714" s="32">
        <v>1150</v>
      </c>
      <c r="G714" s="32">
        <v>100</v>
      </c>
      <c r="H714" s="40">
        <v>600</v>
      </c>
      <c r="I714" s="32">
        <v>695</v>
      </c>
      <c r="J714" s="32">
        <v>50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</row>
    <row r="715" spans="1:20" ht="15.75">
      <c r="A715" s="13">
        <v>63644</v>
      </c>
      <c r="B715" s="41">
        <f t="shared" si="2"/>
        <v>31</v>
      </c>
      <c r="C715" s="32">
        <v>122.58</v>
      </c>
      <c r="D715" s="32">
        <v>297.94099999999997</v>
      </c>
      <c r="E715" s="38">
        <v>729.47900000000004</v>
      </c>
      <c r="F715" s="32">
        <v>1150</v>
      </c>
      <c r="G715" s="32">
        <v>100</v>
      </c>
      <c r="H715" s="40">
        <v>600</v>
      </c>
      <c r="I715" s="32">
        <v>695</v>
      </c>
      <c r="J715" s="32">
        <v>50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</row>
    <row r="716" spans="1:20" ht="15.75">
      <c r="A716" s="13">
        <v>63674</v>
      </c>
      <c r="B716" s="41">
        <f t="shared" si="2"/>
        <v>30</v>
      </c>
      <c r="C716" s="32">
        <v>141.29300000000001</v>
      </c>
      <c r="D716" s="32">
        <v>267.99299999999999</v>
      </c>
      <c r="E716" s="38">
        <v>829.71400000000006</v>
      </c>
      <c r="F716" s="32">
        <v>1239</v>
      </c>
      <c r="G716" s="32">
        <v>100</v>
      </c>
      <c r="H716" s="40">
        <v>600</v>
      </c>
      <c r="I716" s="32">
        <v>695</v>
      </c>
      <c r="J716" s="32">
        <v>50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</row>
    <row r="717" spans="1:20" ht="15.75">
      <c r="A717" s="13">
        <v>63705</v>
      </c>
      <c r="B717" s="41">
        <f t="shared" si="2"/>
        <v>31</v>
      </c>
      <c r="C717" s="32">
        <v>194.20500000000001</v>
      </c>
      <c r="D717" s="32">
        <v>267.46600000000001</v>
      </c>
      <c r="E717" s="38">
        <v>812.32899999999995</v>
      </c>
      <c r="F717" s="32">
        <v>1274</v>
      </c>
      <c r="G717" s="32">
        <v>75</v>
      </c>
      <c r="H717" s="40">
        <v>600</v>
      </c>
      <c r="I717" s="32">
        <v>695</v>
      </c>
      <c r="J717" s="32">
        <v>50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</row>
    <row r="718" spans="1:20" ht="15.75">
      <c r="A718" s="13">
        <v>63735</v>
      </c>
      <c r="B718" s="41">
        <f t="shared" si="2"/>
        <v>30</v>
      </c>
      <c r="C718" s="32">
        <v>194.20500000000001</v>
      </c>
      <c r="D718" s="32">
        <v>267.46600000000001</v>
      </c>
      <c r="E718" s="38">
        <v>812.32899999999995</v>
      </c>
      <c r="F718" s="32">
        <v>1274</v>
      </c>
      <c r="G718" s="32">
        <v>50</v>
      </c>
      <c r="H718" s="40">
        <v>600</v>
      </c>
      <c r="I718" s="32">
        <v>695</v>
      </c>
      <c r="J718" s="32">
        <v>50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</row>
    <row r="719" spans="1:20" ht="15.75">
      <c r="A719" s="13">
        <v>63766</v>
      </c>
      <c r="B719" s="41">
        <f t="shared" si="2"/>
        <v>31</v>
      </c>
      <c r="C719" s="32">
        <v>194.20500000000001</v>
      </c>
      <c r="D719" s="32">
        <v>267.46600000000001</v>
      </c>
      <c r="E719" s="38">
        <v>812.32899999999995</v>
      </c>
      <c r="F719" s="32">
        <v>1274</v>
      </c>
      <c r="G719" s="32">
        <v>50</v>
      </c>
      <c r="H719" s="40">
        <v>600</v>
      </c>
      <c r="I719" s="32">
        <v>695</v>
      </c>
      <c r="J719" s="32">
        <v>0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</row>
    <row r="720" spans="1:20" ht="15.75">
      <c r="A720" s="13">
        <v>63797</v>
      </c>
      <c r="B720" s="41">
        <f t="shared" si="2"/>
        <v>31</v>
      </c>
      <c r="C720" s="32">
        <v>194.20500000000001</v>
      </c>
      <c r="D720" s="32">
        <v>267.46600000000001</v>
      </c>
      <c r="E720" s="38">
        <v>812.32899999999995</v>
      </c>
      <c r="F720" s="32">
        <v>1274</v>
      </c>
      <c r="G720" s="32">
        <v>50</v>
      </c>
      <c r="H720" s="40">
        <v>600</v>
      </c>
      <c r="I720" s="32">
        <v>695</v>
      </c>
      <c r="J720" s="32">
        <v>0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</row>
    <row r="721" spans="1:20" ht="15.75">
      <c r="A721" s="13">
        <v>63827</v>
      </c>
      <c r="B721" s="41">
        <f t="shared" si="2"/>
        <v>30</v>
      </c>
      <c r="C721" s="32">
        <v>194.20500000000001</v>
      </c>
      <c r="D721" s="32">
        <v>267.46600000000001</v>
      </c>
      <c r="E721" s="38">
        <v>812.32899999999995</v>
      </c>
      <c r="F721" s="32">
        <v>1274</v>
      </c>
      <c r="G721" s="32">
        <v>50</v>
      </c>
      <c r="H721" s="40">
        <v>600</v>
      </c>
      <c r="I721" s="32">
        <v>695</v>
      </c>
      <c r="J721" s="32">
        <v>0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</row>
    <row r="722" spans="1:20" ht="15.75">
      <c r="A722" s="13">
        <v>63858</v>
      </c>
      <c r="B722" s="41">
        <f t="shared" si="2"/>
        <v>31</v>
      </c>
      <c r="C722" s="32">
        <v>131.881</v>
      </c>
      <c r="D722" s="32">
        <v>277.16699999999997</v>
      </c>
      <c r="E722" s="38">
        <v>829.952</v>
      </c>
      <c r="F722" s="32">
        <v>1239</v>
      </c>
      <c r="G722" s="32">
        <v>75</v>
      </c>
      <c r="H722" s="40">
        <v>600</v>
      </c>
      <c r="I722" s="32">
        <v>695</v>
      </c>
      <c r="J722" s="32">
        <v>0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</row>
    <row r="723" spans="1:20" ht="15.75">
      <c r="A723" s="13">
        <v>63888</v>
      </c>
      <c r="B723" s="41">
        <f t="shared" si="2"/>
        <v>30</v>
      </c>
      <c r="C723" s="32">
        <v>122.58</v>
      </c>
      <c r="D723" s="32">
        <v>297.94099999999997</v>
      </c>
      <c r="E723" s="38">
        <v>729.47900000000004</v>
      </c>
      <c r="F723" s="32">
        <v>1150</v>
      </c>
      <c r="G723" s="32">
        <v>100</v>
      </c>
      <c r="H723" s="40">
        <v>600</v>
      </c>
      <c r="I723" s="32">
        <v>695</v>
      </c>
      <c r="J723" s="32">
        <v>50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</row>
    <row r="724" spans="1:20" ht="15.75">
      <c r="A724" s="13">
        <v>63919</v>
      </c>
      <c r="B724" s="41">
        <f t="shared" si="2"/>
        <v>31</v>
      </c>
      <c r="C724" s="32">
        <v>122.58</v>
      </c>
      <c r="D724" s="32">
        <v>297.94099999999997</v>
      </c>
      <c r="E724" s="38">
        <v>729.47900000000004</v>
      </c>
      <c r="F724" s="32">
        <v>1150</v>
      </c>
      <c r="G724" s="32">
        <v>100</v>
      </c>
      <c r="H724" s="40">
        <v>600</v>
      </c>
      <c r="I724" s="32">
        <v>695</v>
      </c>
      <c r="J724" s="32">
        <v>50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</row>
    <row r="725" spans="1:20" ht="15.75">
      <c r="A725" s="13">
        <v>63950</v>
      </c>
      <c r="B725" s="41">
        <f t="shared" si="2"/>
        <v>31</v>
      </c>
      <c r="C725" s="32">
        <v>122.58</v>
      </c>
      <c r="D725" s="32">
        <v>297.94099999999997</v>
      </c>
      <c r="E725" s="38">
        <v>729.47900000000004</v>
      </c>
      <c r="F725" s="32">
        <v>1150</v>
      </c>
      <c r="G725" s="32">
        <v>100</v>
      </c>
      <c r="H725" s="40">
        <v>600</v>
      </c>
      <c r="I725" s="32">
        <v>695</v>
      </c>
      <c r="J725" s="32">
        <v>50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</row>
    <row r="726" spans="1:20" ht="15.75">
      <c r="A726" s="13">
        <v>63978</v>
      </c>
      <c r="B726" s="41">
        <f t="shared" si="2"/>
        <v>28</v>
      </c>
      <c r="C726" s="32">
        <v>122.58</v>
      </c>
      <c r="D726" s="32">
        <v>297.94099999999997</v>
      </c>
      <c r="E726" s="38">
        <v>729.47900000000004</v>
      </c>
      <c r="F726" s="32">
        <v>1150</v>
      </c>
      <c r="G726" s="32">
        <v>100</v>
      </c>
      <c r="H726" s="40">
        <v>600</v>
      </c>
      <c r="I726" s="32">
        <v>695</v>
      </c>
      <c r="J726" s="32">
        <v>50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</row>
    <row r="727" spans="1:20" ht="15.75">
      <c r="A727" s="13">
        <v>64009</v>
      </c>
      <c r="B727" s="41">
        <f t="shared" si="2"/>
        <v>31</v>
      </c>
      <c r="C727" s="32">
        <v>122.58</v>
      </c>
      <c r="D727" s="32">
        <v>297.94099999999997</v>
      </c>
      <c r="E727" s="38">
        <v>729.47900000000004</v>
      </c>
      <c r="F727" s="32">
        <v>1150</v>
      </c>
      <c r="G727" s="32">
        <v>100</v>
      </c>
      <c r="H727" s="40">
        <v>600</v>
      </c>
      <c r="I727" s="32">
        <v>695</v>
      </c>
      <c r="J727" s="32">
        <v>50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</row>
    <row r="728" spans="1:20" ht="15.75">
      <c r="A728" s="13">
        <v>64039</v>
      </c>
      <c r="B728" s="41">
        <f t="shared" si="2"/>
        <v>30</v>
      </c>
      <c r="C728" s="32">
        <v>141.29300000000001</v>
      </c>
      <c r="D728" s="32">
        <v>267.99299999999999</v>
      </c>
      <c r="E728" s="38">
        <v>829.71400000000006</v>
      </c>
      <c r="F728" s="32">
        <v>1239</v>
      </c>
      <c r="G728" s="32">
        <v>100</v>
      </c>
      <c r="H728" s="40">
        <v>600</v>
      </c>
      <c r="I728" s="32">
        <v>695</v>
      </c>
      <c r="J728" s="32">
        <v>50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</row>
    <row r="729" spans="1:20" ht="15.75">
      <c r="A729" s="13">
        <v>64070</v>
      </c>
      <c r="B729" s="41">
        <f t="shared" si="2"/>
        <v>31</v>
      </c>
      <c r="C729" s="32">
        <v>194.20500000000001</v>
      </c>
      <c r="D729" s="32">
        <v>267.46600000000001</v>
      </c>
      <c r="E729" s="38">
        <v>812.32899999999995</v>
      </c>
      <c r="F729" s="32">
        <v>1274</v>
      </c>
      <c r="G729" s="32">
        <v>75</v>
      </c>
      <c r="H729" s="40">
        <v>600</v>
      </c>
      <c r="I729" s="32">
        <v>695</v>
      </c>
      <c r="J729" s="32">
        <v>50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</row>
    <row r="730" spans="1:20" ht="15.75">
      <c r="A730" s="13">
        <v>64100</v>
      </c>
      <c r="B730" s="41">
        <f t="shared" si="2"/>
        <v>30</v>
      </c>
      <c r="C730" s="32">
        <v>194.20500000000001</v>
      </c>
      <c r="D730" s="32">
        <v>267.46600000000001</v>
      </c>
      <c r="E730" s="38">
        <v>812.32899999999995</v>
      </c>
      <c r="F730" s="32">
        <v>1274</v>
      </c>
      <c r="G730" s="32">
        <v>50</v>
      </c>
      <c r="H730" s="40">
        <v>600</v>
      </c>
      <c r="I730" s="32">
        <v>695</v>
      </c>
      <c r="J730" s="32">
        <v>50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</row>
    <row r="731" spans="1:20" ht="15.75">
      <c r="A731" s="13">
        <v>64131</v>
      </c>
      <c r="B731" s="41">
        <f t="shared" si="2"/>
        <v>31</v>
      </c>
      <c r="C731" s="32">
        <v>194.20500000000001</v>
      </c>
      <c r="D731" s="32">
        <v>267.46600000000001</v>
      </c>
      <c r="E731" s="38">
        <v>812.32899999999995</v>
      </c>
      <c r="F731" s="32">
        <v>1274</v>
      </c>
      <c r="G731" s="32">
        <v>50</v>
      </c>
      <c r="H731" s="40">
        <v>600</v>
      </c>
      <c r="I731" s="32">
        <v>695</v>
      </c>
      <c r="J731" s="32">
        <v>0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</row>
    <row r="732" spans="1:20" ht="15.75">
      <c r="A732" s="13">
        <v>64162</v>
      </c>
      <c r="B732" s="41">
        <f t="shared" si="2"/>
        <v>31</v>
      </c>
      <c r="C732" s="32">
        <v>194.20500000000001</v>
      </c>
      <c r="D732" s="32">
        <v>267.46600000000001</v>
      </c>
      <c r="E732" s="38">
        <v>812.32899999999995</v>
      </c>
      <c r="F732" s="32">
        <v>1274</v>
      </c>
      <c r="G732" s="32">
        <v>50</v>
      </c>
      <c r="H732" s="40">
        <v>600</v>
      </c>
      <c r="I732" s="32">
        <v>695</v>
      </c>
      <c r="J732" s="32">
        <v>0</v>
      </c>
      <c r="K732" s="33"/>
      <c r="L732" s="33"/>
      <c r="M732" s="33"/>
      <c r="N732" s="33"/>
      <c r="O732" s="33"/>
      <c r="P732" s="33"/>
      <c r="Q732" s="33"/>
      <c r="R732" s="33"/>
      <c r="S732" s="33"/>
      <c r="T732" s="33"/>
    </row>
    <row r="733" spans="1:20" ht="15.75">
      <c r="A733" s="13">
        <v>64192</v>
      </c>
      <c r="B733" s="41">
        <f t="shared" si="2"/>
        <v>30</v>
      </c>
      <c r="C733" s="32">
        <v>194.20500000000001</v>
      </c>
      <c r="D733" s="32">
        <v>267.46600000000001</v>
      </c>
      <c r="E733" s="38">
        <v>812.32899999999995</v>
      </c>
      <c r="F733" s="32">
        <v>1274</v>
      </c>
      <c r="G733" s="32">
        <v>50</v>
      </c>
      <c r="H733" s="40">
        <v>600</v>
      </c>
      <c r="I733" s="32">
        <v>695</v>
      </c>
      <c r="J733" s="32">
        <v>0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</row>
    <row r="734" spans="1:20" ht="15.75">
      <c r="A734" s="13">
        <v>64223</v>
      </c>
      <c r="B734" s="41">
        <f t="shared" si="2"/>
        <v>31</v>
      </c>
      <c r="C734" s="32">
        <v>131.881</v>
      </c>
      <c r="D734" s="32">
        <v>277.16699999999997</v>
      </c>
      <c r="E734" s="38">
        <v>829.952</v>
      </c>
      <c r="F734" s="32">
        <v>1239</v>
      </c>
      <c r="G734" s="32">
        <v>75</v>
      </c>
      <c r="H734" s="40">
        <v>600</v>
      </c>
      <c r="I734" s="32">
        <v>695</v>
      </c>
      <c r="J734" s="32">
        <v>0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</row>
    <row r="735" spans="1:20" ht="15.75">
      <c r="A735" s="13">
        <v>64253</v>
      </c>
      <c r="B735" s="41">
        <f t="shared" si="2"/>
        <v>30</v>
      </c>
      <c r="C735" s="32">
        <v>122.58</v>
      </c>
      <c r="D735" s="32">
        <v>297.94099999999997</v>
      </c>
      <c r="E735" s="38">
        <v>729.47900000000004</v>
      </c>
      <c r="F735" s="32">
        <v>1150</v>
      </c>
      <c r="G735" s="32">
        <v>100</v>
      </c>
      <c r="H735" s="40">
        <v>600</v>
      </c>
      <c r="I735" s="32">
        <v>695</v>
      </c>
      <c r="J735" s="32">
        <v>50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</row>
    <row r="736" spans="1:20" ht="15.75">
      <c r="A736" s="13">
        <v>64284</v>
      </c>
      <c r="B736" s="41">
        <f t="shared" si="2"/>
        <v>31</v>
      </c>
      <c r="C736" s="32">
        <v>122.58</v>
      </c>
      <c r="D736" s="32">
        <v>297.94099999999997</v>
      </c>
      <c r="E736" s="38">
        <v>729.47900000000004</v>
      </c>
      <c r="F736" s="32">
        <v>1150</v>
      </c>
      <c r="G736" s="32">
        <v>100</v>
      </c>
      <c r="H736" s="40">
        <v>600</v>
      </c>
      <c r="I736" s="32">
        <v>695</v>
      </c>
      <c r="J736" s="32">
        <v>50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</row>
    <row r="737" spans="1:20" ht="15.75">
      <c r="A737" s="13">
        <v>64315</v>
      </c>
      <c r="B737" s="41">
        <f t="shared" si="2"/>
        <v>31</v>
      </c>
      <c r="C737" s="32">
        <v>122.58</v>
      </c>
      <c r="D737" s="32">
        <v>297.94099999999997</v>
      </c>
      <c r="E737" s="38">
        <v>729.47900000000004</v>
      </c>
      <c r="F737" s="32">
        <v>1150</v>
      </c>
      <c r="G737" s="32">
        <v>100</v>
      </c>
      <c r="H737" s="40">
        <v>600</v>
      </c>
      <c r="I737" s="32">
        <v>695</v>
      </c>
      <c r="J737" s="32">
        <v>50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</row>
    <row r="738" spans="1:20" ht="15.75">
      <c r="A738" s="13">
        <v>64344</v>
      </c>
      <c r="B738" s="41">
        <f t="shared" si="2"/>
        <v>29</v>
      </c>
      <c r="C738" s="32">
        <v>122.58</v>
      </c>
      <c r="D738" s="32">
        <v>297.94099999999997</v>
      </c>
      <c r="E738" s="38">
        <v>729.47900000000004</v>
      </c>
      <c r="F738" s="32">
        <v>1150</v>
      </c>
      <c r="G738" s="32">
        <v>100</v>
      </c>
      <c r="H738" s="40">
        <v>600</v>
      </c>
      <c r="I738" s="32">
        <v>695</v>
      </c>
      <c r="J738" s="32">
        <v>50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</row>
    <row r="739" spans="1:20" ht="15.75">
      <c r="A739" s="13">
        <v>64375</v>
      </c>
      <c r="B739" s="41">
        <f t="shared" si="2"/>
        <v>31</v>
      </c>
      <c r="C739" s="32">
        <v>122.58</v>
      </c>
      <c r="D739" s="32">
        <v>297.94099999999997</v>
      </c>
      <c r="E739" s="38">
        <v>729.47900000000004</v>
      </c>
      <c r="F739" s="32">
        <v>1150</v>
      </c>
      <c r="G739" s="32">
        <v>100</v>
      </c>
      <c r="H739" s="40">
        <v>600</v>
      </c>
      <c r="I739" s="32">
        <v>695</v>
      </c>
      <c r="J739" s="32">
        <v>50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</row>
    <row r="740" spans="1:20" ht="15.75">
      <c r="A740" s="13">
        <v>64405</v>
      </c>
      <c r="B740" s="41">
        <f t="shared" si="2"/>
        <v>30</v>
      </c>
      <c r="C740" s="32">
        <v>141.29300000000001</v>
      </c>
      <c r="D740" s="32">
        <v>267.99299999999999</v>
      </c>
      <c r="E740" s="38">
        <v>829.71400000000006</v>
      </c>
      <c r="F740" s="32">
        <v>1239</v>
      </c>
      <c r="G740" s="32">
        <v>100</v>
      </c>
      <c r="H740" s="40">
        <v>600</v>
      </c>
      <c r="I740" s="32">
        <v>695</v>
      </c>
      <c r="J740" s="32">
        <v>50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</row>
    <row r="741" spans="1:20" ht="15.75">
      <c r="A741" s="13">
        <v>64436</v>
      </c>
      <c r="B741" s="41">
        <f t="shared" si="2"/>
        <v>31</v>
      </c>
      <c r="C741" s="32">
        <v>194.20500000000001</v>
      </c>
      <c r="D741" s="32">
        <v>267.46600000000001</v>
      </c>
      <c r="E741" s="38">
        <v>812.32899999999995</v>
      </c>
      <c r="F741" s="32">
        <v>1274</v>
      </c>
      <c r="G741" s="32">
        <v>75</v>
      </c>
      <c r="H741" s="40">
        <v>600</v>
      </c>
      <c r="I741" s="32">
        <v>695</v>
      </c>
      <c r="J741" s="32">
        <v>50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</row>
    <row r="742" spans="1:20" ht="15.75">
      <c r="A742" s="13">
        <v>64466</v>
      </c>
      <c r="B742" s="41">
        <f t="shared" si="2"/>
        <v>30</v>
      </c>
      <c r="C742" s="32">
        <v>194.20500000000001</v>
      </c>
      <c r="D742" s="32">
        <v>267.46600000000001</v>
      </c>
      <c r="E742" s="38">
        <v>812.32899999999995</v>
      </c>
      <c r="F742" s="32">
        <v>1274</v>
      </c>
      <c r="G742" s="32">
        <v>50</v>
      </c>
      <c r="H742" s="40">
        <v>600</v>
      </c>
      <c r="I742" s="32">
        <v>695</v>
      </c>
      <c r="J742" s="32">
        <v>50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</row>
    <row r="743" spans="1:20" ht="15.75">
      <c r="A743" s="13">
        <v>64497</v>
      </c>
      <c r="B743" s="41">
        <f t="shared" si="2"/>
        <v>31</v>
      </c>
      <c r="C743" s="32">
        <v>194.20500000000001</v>
      </c>
      <c r="D743" s="32">
        <v>267.46600000000001</v>
      </c>
      <c r="E743" s="38">
        <v>812.32899999999995</v>
      </c>
      <c r="F743" s="32">
        <v>1274</v>
      </c>
      <c r="G743" s="32">
        <v>50</v>
      </c>
      <c r="H743" s="40">
        <v>600</v>
      </c>
      <c r="I743" s="32">
        <v>695</v>
      </c>
      <c r="J743" s="32">
        <v>0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</row>
    <row r="744" spans="1:20" ht="15.75">
      <c r="A744" s="13">
        <v>64528</v>
      </c>
      <c r="B744" s="41">
        <f t="shared" si="2"/>
        <v>31</v>
      </c>
      <c r="C744" s="32">
        <v>194.20500000000001</v>
      </c>
      <c r="D744" s="32">
        <v>267.46600000000001</v>
      </c>
      <c r="E744" s="38">
        <v>812.32899999999995</v>
      </c>
      <c r="F744" s="32">
        <v>1274</v>
      </c>
      <c r="G744" s="32">
        <v>50</v>
      </c>
      <c r="H744" s="40">
        <v>600</v>
      </c>
      <c r="I744" s="32">
        <v>695</v>
      </c>
      <c r="J744" s="32">
        <v>0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</row>
    <row r="745" spans="1:20" ht="15.75">
      <c r="A745" s="13">
        <v>64558</v>
      </c>
      <c r="B745" s="41">
        <f t="shared" si="2"/>
        <v>30</v>
      </c>
      <c r="C745" s="32">
        <v>194.20500000000001</v>
      </c>
      <c r="D745" s="32">
        <v>267.46600000000001</v>
      </c>
      <c r="E745" s="38">
        <v>812.32899999999995</v>
      </c>
      <c r="F745" s="32">
        <v>1274</v>
      </c>
      <c r="G745" s="32">
        <v>50</v>
      </c>
      <c r="H745" s="40">
        <v>600</v>
      </c>
      <c r="I745" s="32">
        <v>695</v>
      </c>
      <c r="J745" s="32">
        <v>0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</row>
    <row r="746" spans="1:20" ht="15.75">
      <c r="A746" s="13">
        <v>64589</v>
      </c>
      <c r="B746" s="41">
        <f t="shared" si="2"/>
        <v>31</v>
      </c>
      <c r="C746" s="32">
        <v>131.881</v>
      </c>
      <c r="D746" s="32">
        <v>277.16699999999997</v>
      </c>
      <c r="E746" s="38">
        <v>829.952</v>
      </c>
      <c r="F746" s="32">
        <v>1239</v>
      </c>
      <c r="G746" s="32">
        <v>75</v>
      </c>
      <c r="H746" s="40">
        <v>600</v>
      </c>
      <c r="I746" s="32">
        <v>695</v>
      </c>
      <c r="J746" s="32">
        <v>0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</row>
    <row r="747" spans="1:20" ht="15.75">
      <c r="A747" s="13">
        <v>64619</v>
      </c>
      <c r="B747" s="41">
        <f t="shared" si="2"/>
        <v>30</v>
      </c>
      <c r="C747" s="32">
        <v>122.58</v>
      </c>
      <c r="D747" s="32">
        <v>297.94099999999997</v>
      </c>
      <c r="E747" s="38">
        <v>729.47900000000004</v>
      </c>
      <c r="F747" s="32">
        <v>1150</v>
      </c>
      <c r="G747" s="32">
        <v>100</v>
      </c>
      <c r="H747" s="40">
        <v>600</v>
      </c>
      <c r="I747" s="32">
        <v>695</v>
      </c>
      <c r="J747" s="32">
        <v>50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</row>
    <row r="748" spans="1:20" ht="15.75">
      <c r="A748" s="13">
        <v>64650</v>
      </c>
      <c r="B748" s="41">
        <f t="shared" si="2"/>
        <v>31</v>
      </c>
      <c r="C748" s="32">
        <v>122.58</v>
      </c>
      <c r="D748" s="32">
        <v>297.94099999999997</v>
      </c>
      <c r="E748" s="38">
        <v>729.47900000000004</v>
      </c>
      <c r="F748" s="32">
        <v>1150</v>
      </c>
      <c r="G748" s="32">
        <v>100</v>
      </c>
      <c r="H748" s="40">
        <v>600</v>
      </c>
      <c r="I748" s="32">
        <v>695</v>
      </c>
      <c r="J748" s="32">
        <v>50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</row>
    <row r="749" spans="1:20" ht="15.75">
      <c r="A749" s="13">
        <v>64681</v>
      </c>
      <c r="B749" s="41">
        <f t="shared" si="2"/>
        <v>31</v>
      </c>
      <c r="C749" s="32">
        <v>122.58</v>
      </c>
      <c r="D749" s="32">
        <v>297.94099999999997</v>
      </c>
      <c r="E749" s="38">
        <v>729.47900000000004</v>
      </c>
      <c r="F749" s="32">
        <v>1150</v>
      </c>
      <c r="G749" s="32">
        <v>100</v>
      </c>
      <c r="H749" s="40">
        <v>600</v>
      </c>
      <c r="I749" s="32">
        <v>695</v>
      </c>
      <c r="J749" s="32">
        <v>50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</row>
    <row r="750" spans="1:20" ht="15.75">
      <c r="A750" s="13">
        <v>64709</v>
      </c>
      <c r="B750" s="41">
        <f t="shared" si="2"/>
        <v>28</v>
      </c>
      <c r="C750" s="32">
        <v>122.58</v>
      </c>
      <c r="D750" s="32">
        <v>297.94099999999997</v>
      </c>
      <c r="E750" s="38">
        <v>729.47900000000004</v>
      </c>
      <c r="F750" s="32">
        <v>1150</v>
      </c>
      <c r="G750" s="32">
        <v>100</v>
      </c>
      <c r="H750" s="40">
        <v>600</v>
      </c>
      <c r="I750" s="32">
        <v>695</v>
      </c>
      <c r="J750" s="32">
        <v>50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</row>
    <row r="751" spans="1:20" ht="15.75">
      <c r="A751" s="13">
        <v>64740</v>
      </c>
      <c r="B751" s="41">
        <f t="shared" si="2"/>
        <v>31</v>
      </c>
      <c r="C751" s="32">
        <v>122.58</v>
      </c>
      <c r="D751" s="32">
        <v>297.94099999999997</v>
      </c>
      <c r="E751" s="38">
        <v>729.47900000000004</v>
      </c>
      <c r="F751" s="32">
        <v>1150</v>
      </c>
      <c r="G751" s="32">
        <v>100</v>
      </c>
      <c r="H751" s="40">
        <v>600</v>
      </c>
      <c r="I751" s="32">
        <v>695</v>
      </c>
      <c r="J751" s="32">
        <v>50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</row>
    <row r="752" spans="1:20" ht="15.75">
      <c r="A752" s="13">
        <v>64770</v>
      </c>
      <c r="B752" s="41">
        <f t="shared" si="2"/>
        <v>30</v>
      </c>
      <c r="C752" s="32">
        <v>141.29300000000001</v>
      </c>
      <c r="D752" s="32">
        <v>267.99299999999999</v>
      </c>
      <c r="E752" s="38">
        <v>829.71400000000006</v>
      </c>
      <c r="F752" s="32">
        <v>1239</v>
      </c>
      <c r="G752" s="32">
        <v>100</v>
      </c>
      <c r="H752" s="40">
        <v>600</v>
      </c>
      <c r="I752" s="32">
        <v>695</v>
      </c>
      <c r="J752" s="32">
        <v>50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</row>
    <row r="753" spans="1:20" ht="15.75">
      <c r="A753" s="13">
        <v>64801</v>
      </c>
      <c r="B753" s="41">
        <f t="shared" si="2"/>
        <v>31</v>
      </c>
      <c r="C753" s="32">
        <v>194.20500000000001</v>
      </c>
      <c r="D753" s="32">
        <v>267.46600000000001</v>
      </c>
      <c r="E753" s="38">
        <v>812.32899999999995</v>
      </c>
      <c r="F753" s="32">
        <v>1274</v>
      </c>
      <c r="G753" s="32">
        <v>75</v>
      </c>
      <c r="H753" s="40">
        <v>600</v>
      </c>
      <c r="I753" s="32">
        <v>695</v>
      </c>
      <c r="J753" s="32">
        <v>50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</row>
    <row r="754" spans="1:20" ht="15.75">
      <c r="A754" s="13">
        <v>64831</v>
      </c>
      <c r="B754" s="41">
        <f t="shared" si="2"/>
        <v>30</v>
      </c>
      <c r="C754" s="32">
        <v>194.20500000000001</v>
      </c>
      <c r="D754" s="32">
        <v>267.46600000000001</v>
      </c>
      <c r="E754" s="38">
        <v>812.32899999999995</v>
      </c>
      <c r="F754" s="32">
        <v>1274</v>
      </c>
      <c r="G754" s="32">
        <v>50</v>
      </c>
      <c r="H754" s="40">
        <v>600</v>
      </c>
      <c r="I754" s="32">
        <v>695</v>
      </c>
      <c r="J754" s="32">
        <v>50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</row>
    <row r="755" spans="1:20" ht="15.75">
      <c r="A755" s="13">
        <v>64862</v>
      </c>
      <c r="B755" s="41">
        <f t="shared" si="2"/>
        <v>31</v>
      </c>
      <c r="C755" s="32">
        <v>194.20500000000001</v>
      </c>
      <c r="D755" s="32">
        <v>267.46600000000001</v>
      </c>
      <c r="E755" s="38">
        <v>812.32899999999995</v>
      </c>
      <c r="F755" s="32">
        <v>1274</v>
      </c>
      <c r="G755" s="32">
        <v>50</v>
      </c>
      <c r="H755" s="40">
        <v>600</v>
      </c>
      <c r="I755" s="32">
        <v>695</v>
      </c>
      <c r="J755" s="32">
        <v>0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</row>
    <row r="756" spans="1:20" ht="15.75">
      <c r="A756" s="13">
        <v>64893</v>
      </c>
      <c r="B756" s="41">
        <f t="shared" si="2"/>
        <v>31</v>
      </c>
      <c r="C756" s="32">
        <v>194.20500000000001</v>
      </c>
      <c r="D756" s="32">
        <v>267.46600000000001</v>
      </c>
      <c r="E756" s="38">
        <v>812.32899999999995</v>
      </c>
      <c r="F756" s="32">
        <v>1274</v>
      </c>
      <c r="G756" s="32">
        <v>50</v>
      </c>
      <c r="H756" s="40">
        <v>600</v>
      </c>
      <c r="I756" s="32">
        <v>695</v>
      </c>
      <c r="J756" s="32">
        <v>0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</row>
    <row r="757" spans="1:20" ht="15.75">
      <c r="A757" s="13">
        <v>64923</v>
      </c>
      <c r="B757" s="41">
        <f t="shared" si="2"/>
        <v>30</v>
      </c>
      <c r="C757" s="32">
        <v>194.20500000000001</v>
      </c>
      <c r="D757" s="32">
        <v>267.46600000000001</v>
      </c>
      <c r="E757" s="38">
        <v>812.32899999999995</v>
      </c>
      <c r="F757" s="32">
        <v>1274</v>
      </c>
      <c r="G757" s="32">
        <v>50</v>
      </c>
      <c r="H757" s="40">
        <v>600</v>
      </c>
      <c r="I757" s="32">
        <v>695</v>
      </c>
      <c r="J757" s="32">
        <v>0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</row>
    <row r="758" spans="1:20" ht="15.75">
      <c r="A758" s="13">
        <v>64954</v>
      </c>
      <c r="B758" s="41">
        <f t="shared" si="2"/>
        <v>31</v>
      </c>
      <c r="C758" s="32">
        <v>131.881</v>
      </c>
      <c r="D758" s="32">
        <v>277.16699999999997</v>
      </c>
      <c r="E758" s="38">
        <v>829.952</v>
      </c>
      <c r="F758" s="32">
        <v>1239</v>
      </c>
      <c r="G758" s="32">
        <v>75</v>
      </c>
      <c r="H758" s="40">
        <v>600</v>
      </c>
      <c r="I758" s="32">
        <v>695</v>
      </c>
      <c r="J758" s="32">
        <v>0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</row>
    <row r="759" spans="1:20" ht="15.75">
      <c r="A759" s="13">
        <v>64984</v>
      </c>
      <c r="B759" s="41">
        <f t="shared" si="2"/>
        <v>30</v>
      </c>
      <c r="C759" s="32">
        <v>122.58</v>
      </c>
      <c r="D759" s="32">
        <v>297.94099999999997</v>
      </c>
      <c r="E759" s="38">
        <v>729.47900000000004</v>
      </c>
      <c r="F759" s="32">
        <v>1150</v>
      </c>
      <c r="G759" s="32">
        <v>100</v>
      </c>
      <c r="H759" s="40">
        <v>600</v>
      </c>
      <c r="I759" s="32">
        <v>695</v>
      </c>
      <c r="J759" s="32">
        <v>50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</row>
    <row r="760" spans="1:20" ht="15.75">
      <c r="A760" s="13">
        <v>65015</v>
      </c>
      <c r="B760" s="41">
        <f t="shared" si="2"/>
        <v>31</v>
      </c>
      <c r="C760" s="32">
        <v>122.58</v>
      </c>
      <c r="D760" s="32">
        <v>297.94099999999997</v>
      </c>
      <c r="E760" s="38">
        <v>729.47900000000004</v>
      </c>
      <c r="F760" s="32">
        <v>1150</v>
      </c>
      <c r="G760" s="32">
        <v>100</v>
      </c>
      <c r="H760" s="40">
        <v>600</v>
      </c>
      <c r="I760" s="32">
        <v>695</v>
      </c>
      <c r="J760" s="32">
        <v>50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</row>
    <row r="761" spans="1:20" ht="15.75">
      <c r="A761" s="13">
        <v>65046</v>
      </c>
      <c r="B761" s="41">
        <f t="shared" ref="B761:B824" si="3">EOMONTH(A761,0)-EOMONTH(A761,-1)</f>
        <v>31</v>
      </c>
      <c r="C761" s="32">
        <v>122.58</v>
      </c>
      <c r="D761" s="32">
        <v>297.94099999999997</v>
      </c>
      <c r="E761" s="38">
        <v>729.47900000000004</v>
      </c>
      <c r="F761" s="32">
        <v>1150</v>
      </c>
      <c r="G761" s="32">
        <v>100</v>
      </c>
      <c r="H761" s="40">
        <v>600</v>
      </c>
      <c r="I761" s="32">
        <v>695</v>
      </c>
      <c r="J761" s="32">
        <v>50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</row>
    <row r="762" spans="1:20" ht="15.75">
      <c r="A762" s="13">
        <v>65074</v>
      </c>
      <c r="B762" s="41">
        <f t="shared" si="3"/>
        <v>28</v>
      </c>
      <c r="C762" s="32">
        <v>122.58</v>
      </c>
      <c r="D762" s="32">
        <v>297.94099999999997</v>
      </c>
      <c r="E762" s="38">
        <v>729.47900000000004</v>
      </c>
      <c r="F762" s="32">
        <v>1150</v>
      </c>
      <c r="G762" s="32">
        <v>100</v>
      </c>
      <c r="H762" s="40">
        <v>600</v>
      </c>
      <c r="I762" s="32">
        <v>695</v>
      </c>
      <c r="J762" s="32">
        <v>50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</row>
    <row r="763" spans="1:20" ht="15.75">
      <c r="A763" s="13">
        <v>65105</v>
      </c>
      <c r="B763" s="41">
        <f t="shared" si="3"/>
        <v>31</v>
      </c>
      <c r="C763" s="32">
        <v>122.58</v>
      </c>
      <c r="D763" s="32">
        <v>297.94099999999997</v>
      </c>
      <c r="E763" s="38">
        <v>729.47900000000004</v>
      </c>
      <c r="F763" s="32">
        <v>1150</v>
      </c>
      <c r="G763" s="32">
        <v>100</v>
      </c>
      <c r="H763" s="40">
        <v>600</v>
      </c>
      <c r="I763" s="32">
        <v>695</v>
      </c>
      <c r="J763" s="32">
        <v>50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</row>
    <row r="764" spans="1:20" ht="15.75">
      <c r="A764" s="13">
        <v>65135</v>
      </c>
      <c r="B764" s="41">
        <f t="shared" si="3"/>
        <v>30</v>
      </c>
      <c r="C764" s="32">
        <v>141.29300000000001</v>
      </c>
      <c r="D764" s="32">
        <v>267.99299999999999</v>
      </c>
      <c r="E764" s="38">
        <v>829.71400000000006</v>
      </c>
      <c r="F764" s="32">
        <v>1239</v>
      </c>
      <c r="G764" s="32">
        <v>100</v>
      </c>
      <c r="H764" s="40">
        <v>600</v>
      </c>
      <c r="I764" s="32">
        <v>695</v>
      </c>
      <c r="J764" s="32">
        <v>50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</row>
    <row r="765" spans="1:20" ht="15.75">
      <c r="A765" s="13">
        <v>65166</v>
      </c>
      <c r="B765" s="41">
        <f t="shared" si="3"/>
        <v>31</v>
      </c>
      <c r="C765" s="32">
        <v>194.20500000000001</v>
      </c>
      <c r="D765" s="32">
        <v>267.46600000000001</v>
      </c>
      <c r="E765" s="38">
        <v>812.32899999999995</v>
      </c>
      <c r="F765" s="32">
        <v>1274</v>
      </c>
      <c r="G765" s="32">
        <v>75</v>
      </c>
      <c r="H765" s="40">
        <v>600</v>
      </c>
      <c r="I765" s="32">
        <v>695</v>
      </c>
      <c r="J765" s="32">
        <v>50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</row>
    <row r="766" spans="1:20" ht="15.75">
      <c r="A766" s="13">
        <v>65196</v>
      </c>
      <c r="B766" s="41">
        <f t="shared" si="3"/>
        <v>30</v>
      </c>
      <c r="C766" s="32">
        <v>194.20500000000001</v>
      </c>
      <c r="D766" s="32">
        <v>267.46600000000001</v>
      </c>
      <c r="E766" s="38">
        <v>812.32899999999995</v>
      </c>
      <c r="F766" s="32">
        <v>1274</v>
      </c>
      <c r="G766" s="32">
        <v>50</v>
      </c>
      <c r="H766" s="40">
        <v>600</v>
      </c>
      <c r="I766" s="32">
        <v>695</v>
      </c>
      <c r="J766" s="32">
        <v>50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</row>
    <row r="767" spans="1:20" ht="15.75">
      <c r="A767" s="13">
        <v>65227</v>
      </c>
      <c r="B767" s="41">
        <f t="shared" si="3"/>
        <v>31</v>
      </c>
      <c r="C767" s="32">
        <v>194.20500000000001</v>
      </c>
      <c r="D767" s="32">
        <v>267.46600000000001</v>
      </c>
      <c r="E767" s="38">
        <v>812.32899999999995</v>
      </c>
      <c r="F767" s="32">
        <v>1274</v>
      </c>
      <c r="G767" s="32">
        <v>50</v>
      </c>
      <c r="H767" s="40">
        <v>600</v>
      </c>
      <c r="I767" s="32">
        <v>695</v>
      </c>
      <c r="J767" s="32">
        <v>0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</row>
    <row r="768" spans="1:20" ht="15.75">
      <c r="A768" s="13">
        <v>65258</v>
      </c>
      <c r="B768" s="41">
        <f t="shared" si="3"/>
        <v>31</v>
      </c>
      <c r="C768" s="32">
        <v>194.20500000000001</v>
      </c>
      <c r="D768" s="32">
        <v>267.46600000000001</v>
      </c>
      <c r="E768" s="38">
        <v>812.32899999999995</v>
      </c>
      <c r="F768" s="32">
        <v>1274</v>
      </c>
      <c r="G768" s="32">
        <v>50</v>
      </c>
      <c r="H768" s="40">
        <v>600</v>
      </c>
      <c r="I768" s="32">
        <v>695</v>
      </c>
      <c r="J768" s="32">
        <v>0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</row>
    <row r="769" spans="1:20" ht="15.75">
      <c r="A769" s="13">
        <v>65288</v>
      </c>
      <c r="B769" s="41">
        <f t="shared" si="3"/>
        <v>30</v>
      </c>
      <c r="C769" s="32">
        <v>194.20500000000001</v>
      </c>
      <c r="D769" s="32">
        <v>267.46600000000001</v>
      </c>
      <c r="E769" s="38">
        <v>812.32899999999995</v>
      </c>
      <c r="F769" s="32">
        <v>1274</v>
      </c>
      <c r="G769" s="32">
        <v>50</v>
      </c>
      <c r="H769" s="40">
        <v>600</v>
      </c>
      <c r="I769" s="32">
        <v>695</v>
      </c>
      <c r="J769" s="32">
        <v>0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</row>
    <row r="770" spans="1:20" ht="15.75">
      <c r="A770" s="13">
        <v>65319</v>
      </c>
      <c r="B770" s="41">
        <f t="shared" si="3"/>
        <v>31</v>
      </c>
      <c r="C770" s="32">
        <v>131.881</v>
      </c>
      <c r="D770" s="32">
        <v>277.16699999999997</v>
      </c>
      <c r="E770" s="38">
        <v>829.952</v>
      </c>
      <c r="F770" s="32">
        <v>1239</v>
      </c>
      <c r="G770" s="32">
        <v>75</v>
      </c>
      <c r="H770" s="40">
        <v>600</v>
      </c>
      <c r="I770" s="32">
        <v>695</v>
      </c>
      <c r="J770" s="32">
        <v>0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</row>
    <row r="771" spans="1:20" ht="15.75">
      <c r="A771" s="13">
        <v>65349</v>
      </c>
      <c r="B771" s="41">
        <f t="shared" si="3"/>
        <v>30</v>
      </c>
      <c r="C771" s="32">
        <v>122.58</v>
      </c>
      <c r="D771" s="32">
        <v>297.94099999999997</v>
      </c>
      <c r="E771" s="38">
        <v>729.47900000000004</v>
      </c>
      <c r="F771" s="32">
        <v>1150</v>
      </c>
      <c r="G771" s="32">
        <v>100</v>
      </c>
      <c r="H771" s="40">
        <v>600</v>
      </c>
      <c r="I771" s="32">
        <v>695</v>
      </c>
      <c r="J771" s="32">
        <v>50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</row>
    <row r="772" spans="1:20" ht="15.75">
      <c r="A772" s="13">
        <v>65380</v>
      </c>
      <c r="B772" s="41">
        <f t="shared" si="3"/>
        <v>31</v>
      </c>
      <c r="C772" s="32">
        <v>122.58</v>
      </c>
      <c r="D772" s="32">
        <v>297.94099999999997</v>
      </c>
      <c r="E772" s="38">
        <v>729.47900000000004</v>
      </c>
      <c r="F772" s="32">
        <v>1150</v>
      </c>
      <c r="G772" s="32">
        <v>100</v>
      </c>
      <c r="H772" s="40">
        <v>600</v>
      </c>
      <c r="I772" s="32">
        <v>695</v>
      </c>
      <c r="J772" s="32">
        <v>50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</row>
    <row r="773" spans="1:20" ht="15.75">
      <c r="A773" s="13">
        <v>65411</v>
      </c>
      <c r="B773" s="41">
        <f t="shared" si="3"/>
        <v>31</v>
      </c>
      <c r="C773" s="32">
        <v>122.58</v>
      </c>
      <c r="D773" s="32">
        <v>297.94099999999997</v>
      </c>
      <c r="E773" s="38">
        <v>729.47900000000004</v>
      </c>
      <c r="F773" s="32">
        <v>1150</v>
      </c>
      <c r="G773" s="32">
        <v>100</v>
      </c>
      <c r="H773" s="40">
        <v>600</v>
      </c>
      <c r="I773" s="32">
        <v>695</v>
      </c>
      <c r="J773" s="32">
        <v>50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</row>
    <row r="774" spans="1:20" ht="15.75">
      <c r="A774" s="13">
        <v>65439</v>
      </c>
      <c r="B774" s="41">
        <f t="shared" si="3"/>
        <v>28</v>
      </c>
      <c r="C774" s="32">
        <v>122.58</v>
      </c>
      <c r="D774" s="32">
        <v>297.94099999999997</v>
      </c>
      <c r="E774" s="38">
        <v>729.47900000000004</v>
      </c>
      <c r="F774" s="32">
        <v>1150</v>
      </c>
      <c r="G774" s="32">
        <v>100</v>
      </c>
      <c r="H774" s="40">
        <v>600</v>
      </c>
      <c r="I774" s="32">
        <v>695</v>
      </c>
      <c r="J774" s="32">
        <v>50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</row>
    <row r="775" spans="1:20" ht="15.75">
      <c r="A775" s="13">
        <v>65470</v>
      </c>
      <c r="B775" s="41">
        <f t="shared" si="3"/>
        <v>31</v>
      </c>
      <c r="C775" s="32">
        <v>122.58</v>
      </c>
      <c r="D775" s="32">
        <v>297.94099999999997</v>
      </c>
      <c r="E775" s="38">
        <v>729.47900000000004</v>
      </c>
      <c r="F775" s="32">
        <v>1150</v>
      </c>
      <c r="G775" s="32">
        <v>100</v>
      </c>
      <c r="H775" s="40">
        <v>600</v>
      </c>
      <c r="I775" s="32">
        <v>695</v>
      </c>
      <c r="J775" s="32">
        <v>50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</row>
    <row r="776" spans="1:20" ht="15.75">
      <c r="A776" s="13">
        <v>65500</v>
      </c>
      <c r="B776" s="41">
        <f t="shared" si="3"/>
        <v>30</v>
      </c>
      <c r="C776" s="32">
        <v>141.29300000000001</v>
      </c>
      <c r="D776" s="32">
        <v>267.99299999999999</v>
      </c>
      <c r="E776" s="38">
        <v>829.71400000000006</v>
      </c>
      <c r="F776" s="32">
        <v>1239</v>
      </c>
      <c r="G776" s="32">
        <v>100</v>
      </c>
      <c r="H776" s="40">
        <v>600</v>
      </c>
      <c r="I776" s="32">
        <v>695</v>
      </c>
      <c r="J776" s="32">
        <v>50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</row>
    <row r="777" spans="1:20" ht="15.75">
      <c r="A777" s="13">
        <v>65531</v>
      </c>
      <c r="B777" s="41">
        <f t="shared" si="3"/>
        <v>31</v>
      </c>
      <c r="C777" s="32">
        <v>194.20500000000001</v>
      </c>
      <c r="D777" s="32">
        <v>267.46600000000001</v>
      </c>
      <c r="E777" s="38">
        <v>812.32899999999995</v>
      </c>
      <c r="F777" s="32">
        <v>1274</v>
      </c>
      <c r="G777" s="32">
        <v>75</v>
      </c>
      <c r="H777" s="40">
        <v>600</v>
      </c>
      <c r="I777" s="32">
        <v>695</v>
      </c>
      <c r="J777" s="32">
        <v>50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</row>
    <row r="778" spans="1:20" ht="15.75">
      <c r="A778" s="13">
        <v>65561</v>
      </c>
      <c r="B778" s="41">
        <f t="shared" si="3"/>
        <v>30</v>
      </c>
      <c r="C778" s="32">
        <v>194.20500000000001</v>
      </c>
      <c r="D778" s="32">
        <v>267.46600000000001</v>
      </c>
      <c r="E778" s="38">
        <v>812.32899999999995</v>
      </c>
      <c r="F778" s="32">
        <v>1274</v>
      </c>
      <c r="G778" s="32">
        <v>50</v>
      </c>
      <c r="H778" s="40">
        <v>600</v>
      </c>
      <c r="I778" s="32">
        <v>695</v>
      </c>
      <c r="J778" s="32">
        <v>50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</row>
    <row r="779" spans="1:20" ht="15.75">
      <c r="A779" s="13">
        <v>65592</v>
      </c>
      <c r="B779" s="41">
        <f t="shared" si="3"/>
        <v>31</v>
      </c>
      <c r="C779" s="32">
        <v>194.20500000000001</v>
      </c>
      <c r="D779" s="32">
        <v>267.46600000000001</v>
      </c>
      <c r="E779" s="38">
        <v>812.32899999999995</v>
      </c>
      <c r="F779" s="32">
        <v>1274</v>
      </c>
      <c r="G779" s="32">
        <v>50</v>
      </c>
      <c r="H779" s="40">
        <v>600</v>
      </c>
      <c r="I779" s="32">
        <v>695</v>
      </c>
      <c r="J779" s="32">
        <v>0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</row>
    <row r="780" spans="1:20" ht="15.75">
      <c r="A780" s="13">
        <v>65623</v>
      </c>
      <c r="B780" s="41">
        <f t="shared" si="3"/>
        <v>31</v>
      </c>
      <c r="C780" s="32">
        <v>194.20500000000001</v>
      </c>
      <c r="D780" s="32">
        <v>267.46600000000001</v>
      </c>
      <c r="E780" s="38">
        <v>812.32899999999995</v>
      </c>
      <c r="F780" s="32">
        <v>1274</v>
      </c>
      <c r="G780" s="32">
        <v>50</v>
      </c>
      <c r="H780" s="40">
        <v>600</v>
      </c>
      <c r="I780" s="32">
        <v>695</v>
      </c>
      <c r="J780" s="32">
        <v>0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</row>
    <row r="781" spans="1:20" ht="15.75">
      <c r="A781" s="13">
        <v>65653</v>
      </c>
      <c r="B781" s="41">
        <f t="shared" si="3"/>
        <v>30</v>
      </c>
      <c r="C781" s="32">
        <v>194.20500000000001</v>
      </c>
      <c r="D781" s="32">
        <v>267.46600000000001</v>
      </c>
      <c r="E781" s="38">
        <v>812.32899999999995</v>
      </c>
      <c r="F781" s="32">
        <v>1274</v>
      </c>
      <c r="G781" s="32">
        <v>50</v>
      </c>
      <c r="H781" s="40">
        <v>600</v>
      </c>
      <c r="I781" s="32">
        <v>695</v>
      </c>
      <c r="J781" s="32">
        <v>0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</row>
    <row r="782" spans="1:20" ht="15.75">
      <c r="A782" s="13">
        <v>65684</v>
      </c>
      <c r="B782" s="41">
        <f t="shared" si="3"/>
        <v>31</v>
      </c>
      <c r="C782" s="32">
        <v>131.881</v>
      </c>
      <c r="D782" s="32">
        <v>277.16699999999997</v>
      </c>
      <c r="E782" s="38">
        <v>829.952</v>
      </c>
      <c r="F782" s="32">
        <v>1239</v>
      </c>
      <c r="G782" s="32">
        <v>75</v>
      </c>
      <c r="H782" s="40">
        <v>600</v>
      </c>
      <c r="I782" s="32">
        <v>695</v>
      </c>
      <c r="J782" s="32">
        <v>0</v>
      </c>
      <c r="K782" s="33"/>
      <c r="L782" s="33"/>
      <c r="M782" s="33"/>
      <c r="N782" s="33"/>
      <c r="O782" s="33"/>
      <c r="P782" s="33"/>
      <c r="Q782" s="33"/>
      <c r="R782" s="33"/>
      <c r="S782" s="33"/>
      <c r="T782" s="33"/>
    </row>
    <row r="783" spans="1:20" ht="15.75">
      <c r="A783" s="13">
        <v>65714</v>
      </c>
      <c r="B783" s="41">
        <f t="shared" si="3"/>
        <v>30</v>
      </c>
      <c r="C783" s="32">
        <v>122.58</v>
      </c>
      <c r="D783" s="32">
        <v>297.94099999999997</v>
      </c>
      <c r="E783" s="38">
        <v>729.47900000000004</v>
      </c>
      <c r="F783" s="32">
        <v>1150</v>
      </c>
      <c r="G783" s="32">
        <v>100</v>
      </c>
      <c r="H783" s="40">
        <v>600</v>
      </c>
      <c r="I783" s="32">
        <v>695</v>
      </c>
      <c r="J783" s="32">
        <v>50</v>
      </c>
      <c r="K783" s="33"/>
      <c r="L783" s="33"/>
      <c r="M783" s="33"/>
      <c r="N783" s="33"/>
      <c r="O783" s="33"/>
      <c r="P783" s="33"/>
      <c r="Q783" s="33"/>
      <c r="R783" s="33"/>
      <c r="S783" s="33"/>
      <c r="T783" s="33"/>
    </row>
    <row r="784" spans="1:20" ht="15.75">
      <c r="A784" s="13">
        <v>65745</v>
      </c>
      <c r="B784" s="41">
        <f t="shared" si="3"/>
        <v>31</v>
      </c>
      <c r="C784" s="32">
        <v>122.58</v>
      </c>
      <c r="D784" s="32">
        <v>297.94099999999997</v>
      </c>
      <c r="E784" s="38">
        <v>729.47900000000004</v>
      </c>
      <c r="F784" s="32">
        <v>1150</v>
      </c>
      <c r="G784" s="32">
        <v>100</v>
      </c>
      <c r="H784" s="40">
        <v>600</v>
      </c>
      <c r="I784" s="32">
        <v>695</v>
      </c>
      <c r="J784" s="32">
        <v>50</v>
      </c>
      <c r="K784" s="33"/>
      <c r="L784" s="33"/>
      <c r="M784" s="33"/>
      <c r="N784" s="33"/>
      <c r="O784" s="33"/>
      <c r="P784" s="33"/>
      <c r="Q784" s="33"/>
      <c r="R784" s="33"/>
      <c r="S784" s="33"/>
      <c r="T784" s="33"/>
    </row>
    <row r="785" spans="1:20" ht="15.75">
      <c r="A785" s="13">
        <v>65776</v>
      </c>
      <c r="B785" s="41">
        <f t="shared" si="3"/>
        <v>31</v>
      </c>
      <c r="C785" s="32">
        <v>122.58</v>
      </c>
      <c r="D785" s="32">
        <v>297.94099999999997</v>
      </c>
      <c r="E785" s="38">
        <v>729.47900000000004</v>
      </c>
      <c r="F785" s="32">
        <v>1150</v>
      </c>
      <c r="G785" s="32">
        <v>100</v>
      </c>
      <c r="H785" s="40">
        <v>600</v>
      </c>
      <c r="I785" s="32">
        <v>695</v>
      </c>
      <c r="J785" s="32">
        <v>50</v>
      </c>
      <c r="K785" s="33"/>
      <c r="L785" s="33"/>
      <c r="M785" s="33"/>
      <c r="N785" s="33"/>
      <c r="O785" s="33"/>
      <c r="P785" s="33"/>
      <c r="Q785" s="33"/>
      <c r="R785" s="33"/>
      <c r="S785" s="33"/>
      <c r="T785" s="33"/>
    </row>
    <row r="786" spans="1:20" ht="15.75">
      <c r="A786" s="13">
        <v>65805</v>
      </c>
      <c r="B786" s="41">
        <f t="shared" si="3"/>
        <v>29</v>
      </c>
      <c r="C786" s="32">
        <v>122.58</v>
      </c>
      <c r="D786" s="32">
        <v>297.94099999999997</v>
      </c>
      <c r="E786" s="38">
        <v>729.47900000000004</v>
      </c>
      <c r="F786" s="32">
        <v>1150</v>
      </c>
      <c r="G786" s="32">
        <v>100</v>
      </c>
      <c r="H786" s="40">
        <v>600</v>
      </c>
      <c r="I786" s="32">
        <v>695</v>
      </c>
      <c r="J786" s="32">
        <v>50</v>
      </c>
      <c r="K786" s="33"/>
      <c r="L786" s="33"/>
      <c r="M786" s="33"/>
      <c r="N786" s="33"/>
      <c r="O786" s="33"/>
      <c r="P786" s="33"/>
      <c r="Q786" s="33"/>
      <c r="R786" s="33"/>
      <c r="S786" s="33"/>
      <c r="T786" s="33"/>
    </row>
    <row r="787" spans="1:20" ht="15.75">
      <c r="A787" s="13">
        <v>65836</v>
      </c>
      <c r="B787" s="41">
        <f t="shared" si="3"/>
        <v>31</v>
      </c>
      <c r="C787" s="32">
        <v>122.58</v>
      </c>
      <c r="D787" s="32">
        <v>297.94099999999997</v>
      </c>
      <c r="E787" s="38">
        <v>729.47900000000004</v>
      </c>
      <c r="F787" s="32">
        <v>1150</v>
      </c>
      <c r="G787" s="32">
        <v>100</v>
      </c>
      <c r="H787" s="40">
        <v>600</v>
      </c>
      <c r="I787" s="32">
        <v>695</v>
      </c>
      <c r="J787" s="32">
        <v>50</v>
      </c>
      <c r="K787" s="33"/>
      <c r="L787" s="33"/>
      <c r="M787" s="33"/>
      <c r="N787" s="33"/>
      <c r="O787" s="33"/>
      <c r="P787" s="33"/>
      <c r="Q787" s="33"/>
      <c r="R787" s="33"/>
      <c r="S787" s="33"/>
      <c r="T787" s="33"/>
    </row>
    <row r="788" spans="1:20" ht="15.75">
      <c r="A788" s="13">
        <v>65866</v>
      </c>
      <c r="B788" s="41">
        <f t="shared" si="3"/>
        <v>30</v>
      </c>
      <c r="C788" s="32">
        <v>141.29300000000001</v>
      </c>
      <c r="D788" s="32">
        <v>267.99299999999999</v>
      </c>
      <c r="E788" s="38">
        <v>829.71400000000006</v>
      </c>
      <c r="F788" s="32">
        <v>1239</v>
      </c>
      <c r="G788" s="32">
        <v>100</v>
      </c>
      <c r="H788" s="40">
        <v>600</v>
      </c>
      <c r="I788" s="32">
        <v>695</v>
      </c>
      <c r="J788" s="32">
        <v>50</v>
      </c>
      <c r="K788" s="33"/>
      <c r="L788" s="33"/>
      <c r="M788" s="33"/>
      <c r="N788" s="33"/>
      <c r="O788" s="33"/>
      <c r="P788" s="33"/>
      <c r="Q788" s="33"/>
      <c r="R788" s="33"/>
      <c r="S788" s="33"/>
      <c r="T788" s="33"/>
    </row>
    <row r="789" spans="1:20" ht="15.75">
      <c r="A789" s="13">
        <v>65897</v>
      </c>
      <c r="B789" s="41">
        <f t="shared" si="3"/>
        <v>31</v>
      </c>
      <c r="C789" s="32">
        <v>194.20500000000001</v>
      </c>
      <c r="D789" s="32">
        <v>267.46600000000001</v>
      </c>
      <c r="E789" s="38">
        <v>812.32899999999995</v>
      </c>
      <c r="F789" s="32">
        <v>1274</v>
      </c>
      <c r="G789" s="32">
        <v>75</v>
      </c>
      <c r="H789" s="40">
        <v>600</v>
      </c>
      <c r="I789" s="32">
        <v>695</v>
      </c>
      <c r="J789" s="32">
        <v>50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</row>
    <row r="790" spans="1:20" ht="15.75">
      <c r="A790" s="13">
        <v>65927</v>
      </c>
      <c r="B790" s="41">
        <f t="shared" si="3"/>
        <v>30</v>
      </c>
      <c r="C790" s="32">
        <v>194.20500000000001</v>
      </c>
      <c r="D790" s="32">
        <v>267.46600000000001</v>
      </c>
      <c r="E790" s="38">
        <v>812.32899999999995</v>
      </c>
      <c r="F790" s="32">
        <v>1274</v>
      </c>
      <c r="G790" s="32">
        <v>50</v>
      </c>
      <c r="H790" s="40">
        <v>600</v>
      </c>
      <c r="I790" s="32">
        <v>695</v>
      </c>
      <c r="J790" s="32">
        <v>50</v>
      </c>
      <c r="K790" s="33"/>
      <c r="L790" s="33"/>
      <c r="M790" s="33"/>
      <c r="N790" s="33"/>
      <c r="O790" s="33"/>
      <c r="P790" s="33"/>
      <c r="Q790" s="33"/>
      <c r="R790" s="33"/>
      <c r="S790" s="33"/>
      <c r="T790" s="33"/>
    </row>
    <row r="791" spans="1:20" ht="15.75">
      <c r="A791" s="13">
        <v>65958</v>
      </c>
      <c r="B791" s="41">
        <f t="shared" si="3"/>
        <v>31</v>
      </c>
      <c r="C791" s="32">
        <v>194.20500000000001</v>
      </c>
      <c r="D791" s="32">
        <v>267.46600000000001</v>
      </c>
      <c r="E791" s="38">
        <v>812.32899999999995</v>
      </c>
      <c r="F791" s="32">
        <v>1274</v>
      </c>
      <c r="G791" s="32">
        <v>50</v>
      </c>
      <c r="H791" s="40">
        <v>600</v>
      </c>
      <c r="I791" s="32">
        <v>695</v>
      </c>
      <c r="J791" s="32">
        <v>0</v>
      </c>
      <c r="K791" s="33"/>
      <c r="L791" s="33"/>
      <c r="M791" s="33"/>
      <c r="N791" s="33"/>
      <c r="O791" s="33"/>
      <c r="P791" s="33"/>
      <c r="Q791" s="33"/>
      <c r="R791" s="33"/>
      <c r="S791" s="33"/>
      <c r="T791" s="33"/>
    </row>
    <row r="792" spans="1:20" ht="15.75">
      <c r="A792" s="13">
        <v>65989</v>
      </c>
      <c r="B792" s="41">
        <f t="shared" si="3"/>
        <v>31</v>
      </c>
      <c r="C792" s="32">
        <v>194.20500000000001</v>
      </c>
      <c r="D792" s="32">
        <v>267.46600000000001</v>
      </c>
      <c r="E792" s="38">
        <v>812.32899999999995</v>
      </c>
      <c r="F792" s="32">
        <v>1274</v>
      </c>
      <c r="G792" s="32">
        <v>50</v>
      </c>
      <c r="H792" s="40">
        <v>600</v>
      </c>
      <c r="I792" s="32">
        <v>695</v>
      </c>
      <c r="J792" s="32">
        <v>0</v>
      </c>
      <c r="K792" s="33"/>
      <c r="L792" s="33"/>
      <c r="M792" s="33"/>
      <c r="N792" s="33"/>
      <c r="O792" s="33"/>
      <c r="P792" s="33"/>
      <c r="Q792" s="33"/>
      <c r="R792" s="33"/>
      <c r="S792" s="33"/>
      <c r="T792" s="33"/>
    </row>
    <row r="793" spans="1:20" ht="15.75">
      <c r="A793" s="13">
        <v>66019</v>
      </c>
      <c r="B793" s="41">
        <f t="shared" si="3"/>
        <v>30</v>
      </c>
      <c r="C793" s="32">
        <v>194.20500000000001</v>
      </c>
      <c r="D793" s="32">
        <v>267.46600000000001</v>
      </c>
      <c r="E793" s="38">
        <v>812.32899999999995</v>
      </c>
      <c r="F793" s="32">
        <v>1274</v>
      </c>
      <c r="G793" s="32">
        <v>50</v>
      </c>
      <c r="H793" s="40">
        <v>600</v>
      </c>
      <c r="I793" s="32">
        <v>695</v>
      </c>
      <c r="J793" s="32">
        <v>0</v>
      </c>
      <c r="K793" s="33"/>
      <c r="L793" s="33"/>
      <c r="M793" s="33"/>
      <c r="N793" s="33"/>
      <c r="O793" s="33"/>
      <c r="P793" s="33"/>
      <c r="Q793" s="33"/>
      <c r="R793" s="33"/>
      <c r="S793" s="33"/>
      <c r="T793" s="33"/>
    </row>
    <row r="794" spans="1:20" ht="15.75">
      <c r="A794" s="13">
        <v>66050</v>
      </c>
      <c r="B794" s="41">
        <f t="shared" si="3"/>
        <v>31</v>
      </c>
      <c r="C794" s="32">
        <v>131.881</v>
      </c>
      <c r="D794" s="32">
        <v>277.16699999999997</v>
      </c>
      <c r="E794" s="38">
        <v>829.952</v>
      </c>
      <c r="F794" s="32">
        <v>1239</v>
      </c>
      <c r="G794" s="32">
        <v>75</v>
      </c>
      <c r="H794" s="40">
        <v>600</v>
      </c>
      <c r="I794" s="32">
        <v>695</v>
      </c>
      <c r="J794" s="32">
        <v>0</v>
      </c>
      <c r="K794" s="33"/>
      <c r="L794" s="33"/>
      <c r="M794" s="33"/>
      <c r="N794" s="33"/>
      <c r="O794" s="33"/>
      <c r="P794" s="33"/>
      <c r="Q794" s="33"/>
      <c r="R794" s="33"/>
      <c r="S794" s="33"/>
      <c r="T794" s="33"/>
    </row>
    <row r="795" spans="1:20" ht="15.75">
      <c r="A795" s="13">
        <v>66080</v>
      </c>
      <c r="B795" s="41">
        <f t="shared" si="3"/>
        <v>30</v>
      </c>
      <c r="C795" s="32">
        <v>122.58</v>
      </c>
      <c r="D795" s="32">
        <v>297.94099999999997</v>
      </c>
      <c r="E795" s="38">
        <v>729.47900000000004</v>
      </c>
      <c r="F795" s="32">
        <v>1150</v>
      </c>
      <c r="G795" s="32">
        <v>100</v>
      </c>
      <c r="H795" s="40">
        <v>600</v>
      </c>
      <c r="I795" s="32">
        <v>695</v>
      </c>
      <c r="J795" s="32">
        <v>50</v>
      </c>
      <c r="K795" s="33"/>
      <c r="L795" s="33"/>
      <c r="M795" s="33"/>
      <c r="N795" s="33"/>
      <c r="O795" s="33"/>
      <c r="P795" s="33"/>
      <c r="Q795" s="33"/>
      <c r="R795" s="33"/>
      <c r="S795" s="33"/>
      <c r="T795" s="33"/>
    </row>
    <row r="796" spans="1:20" ht="15.75">
      <c r="A796" s="13">
        <v>66111</v>
      </c>
      <c r="B796" s="41">
        <f t="shared" si="3"/>
        <v>31</v>
      </c>
      <c r="C796" s="32">
        <v>122.58</v>
      </c>
      <c r="D796" s="32">
        <v>297.94099999999997</v>
      </c>
      <c r="E796" s="38">
        <v>729.47900000000004</v>
      </c>
      <c r="F796" s="32">
        <v>1150</v>
      </c>
      <c r="G796" s="32">
        <v>100</v>
      </c>
      <c r="H796" s="40">
        <v>600</v>
      </c>
      <c r="I796" s="32">
        <v>695</v>
      </c>
      <c r="J796" s="32">
        <v>50</v>
      </c>
      <c r="K796" s="33"/>
      <c r="L796" s="33"/>
      <c r="M796" s="33"/>
      <c r="N796" s="33"/>
      <c r="O796" s="33"/>
      <c r="P796" s="33"/>
      <c r="Q796" s="33"/>
      <c r="R796" s="33"/>
      <c r="S796" s="33"/>
      <c r="T796" s="33"/>
    </row>
    <row r="797" spans="1:20" ht="15.75">
      <c r="A797" s="13">
        <v>66142</v>
      </c>
      <c r="B797" s="41">
        <f t="shared" si="3"/>
        <v>31</v>
      </c>
      <c r="C797" s="32">
        <v>122.58</v>
      </c>
      <c r="D797" s="32">
        <v>297.94099999999997</v>
      </c>
      <c r="E797" s="38">
        <v>729.47900000000004</v>
      </c>
      <c r="F797" s="32">
        <v>1150</v>
      </c>
      <c r="G797" s="32">
        <v>100</v>
      </c>
      <c r="H797" s="40">
        <v>600</v>
      </c>
      <c r="I797" s="32">
        <v>695</v>
      </c>
      <c r="J797" s="32">
        <v>50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</row>
    <row r="798" spans="1:20" ht="15.75">
      <c r="A798" s="13">
        <v>66170</v>
      </c>
      <c r="B798" s="41">
        <f t="shared" si="3"/>
        <v>28</v>
      </c>
      <c r="C798" s="32">
        <v>122.58</v>
      </c>
      <c r="D798" s="32">
        <v>297.94099999999997</v>
      </c>
      <c r="E798" s="38">
        <v>729.47900000000004</v>
      </c>
      <c r="F798" s="32">
        <v>1150</v>
      </c>
      <c r="G798" s="32">
        <v>100</v>
      </c>
      <c r="H798" s="40">
        <v>600</v>
      </c>
      <c r="I798" s="32">
        <v>695</v>
      </c>
      <c r="J798" s="32">
        <v>50</v>
      </c>
      <c r="K798" s="33"/>
      <c r="L798" s="33"/>
      <c r="M798" s="33"/>
      <c r="N798" s="33"/>
      <c r="O798" s="33"/>
      <c r="P798" s="33"/>
      <c r="Q798" s="33"/>
      <c r="R798" s="33"/>
      <c r="S798" s="33"/>
      <c r="T798" s="33"/>
    </row>
    <row r="799" spans="1:20" ht="15.75">
      <c r="A799" s="13">
        <v>66201</v>
      </c>
      <c r="B799" s="41">
        <f t="shared" si="3"/>
        <v>31</v>
      </c>
      <c r="C799" s="32">
        <v>122.58</v>
      </c>
      <c r="D799" s="32">
        <v>297.94099999999997</v>
      </c>
      <c r="E799" s="38">
        <v>729.47900000000004</v>
      </c>
      <c r="F799" s="32">
        <v>1150</v>
      </c>
      <c r="G799" s="32">
        <v>100</v>
      </c>
      <c r="H799" s="40">
        <v>600</v>
      </c>
      <c r="I799" s="32">
        <v>695</v>
      </c>
      <c r="J799" s="32">
        <v>50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</row>
    <row r="800" spans="1:20" ht="15.75">
      <c r="A800" s="13">
        <v>66231</v>
      </c>
      <c r="B800" s="41">
        <f t="shared" si="3"/>
        <v>30</v>
      </c>
      <c r="C800" s="32">
        <v>141.29300000000001</v>
      </c>
      <c r="D800" s="32">
        <v>267.99299999999999</v>
      </c>
      <c r="E800" s="38">
        <v>829.71400000000006</v>
      </c>
      <c r="F800" s="32">
        <v>1239</v>
      </c>
      <c r="G800" s="32">
        <v>100</v>
      </c>
      <c r="H800" s="40">
        <v>600</v>
      </c>
      <c r="I800" s="32">
        <v>695</v>
      </c>
      <c r="J800" s="32">
        <v>50</v>
      </c>
      <c r="K800" s="33"/>
      <c r="L800" s="33"/>
      <c r="M800" s="33"/>
      <c r="N800" s="33"/>
      <c r="O800" s="33"/>
      <c r="P800" s="33"/>
      <c r="Q800" s="33"/>
      <c r="R800" s="33"/>
      <c r="S800" s="33"/>
      <c r="T800" s="33"/>
    </row>
    <row r="801" spans="1:20" ht="15.75">
      <c r="A801" s="13">
        <v>66262</v>
      </c>
      <c r="B801" s="41">
        <f t="shared" si="3"/>
        <v>31</v>
      </c>
      <c r="C801" s="32">
        <v>194.20500000000001</v>
      </c>
      <c r="D801" s="32">
        <v>267.46600000000001</v>
      </c>
      <c r="E801" s="38">
        <v>812.32899999999995</v>
      </c>
      <c r="F801" s="32">
        <v>1274</v>
      </c>
      <c r="G801" s="32">
        <v>75</v>
      </c>
      <c r="H801" s="40">
        <v>600</v>
      </c>
      <c r="I801" s="32">
        <v>695</v>
      </c>
      <c r="J801" s="32">
        <v>50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</row>
    <row r="802" spans="1:20" ht="15.75">
      <c r="A802" s="13">
        <v>66292</v>
      </c>
      <c r="B802" s="41">
        <f t="shared" si="3"/>
        <v>30</v>
      </c>
      <c r="C802" s="32">
        <v>194.20500000000001</v>
      </c>
      <c r="D802" s="32">
        <v>267.46600000000001</v>
      </c>
      <c r="E802" s="38">
        <v>812.32899999999995</v>
      </c>
      <c r="F802" s="32">
        <v>1274</v>
      </c>
      <c r="G802" s="32">
        <v>50</v>
      </c>
      <c r="H802" s="40">
        <v>600</v>
      </c>
      <c r="I802" s="32">
        <v>695</v>
      </c>
      <c r="J802" s="32">
        <v>50</v>
      </c>
      <c r="K802" s="33"/>
      <c r="L802" s="33"/>
      <c r="M802" s="33"/>
      <c r="N802" s="33"/>
      <c r="O802" s="33"/>
      <c r="P802" s="33"/>
      <c r="Q802" s="33"/>
      <c r="R802" s="33"/>
      <c r="S802" s="33"/>
      <c r="T802" s="33"/>
    </row>
    <row r="803" spans="1:20" ht="15.75">
      <c r="A803" s="13">
        <v>66323</v>
      </c>
      <c r="B803" s="41">
        <f t="shared" si="3"/>
        <v>31</v>
      </c>
      <c r="C803" s="32">
        <v>194.20500000000001</v>
      </c>
      <c r="D803" s="32">
        <v>267.46600000000001</v>
      </c>
      <c r="E803" s="38">
        <v>812.32899999999995</v>
      </c>
      <c r="F803" s="32">
        <v>1274</v>
      </c>
      <c r="G803" s="32">
        <v>50</v>
      </c>
      <c r="H803" s="40">
        <v>600</v>
      </c>
      <c r="I803" s="32">
        <v>695</v>
      </c>
      <c r="J803" s="32">
        <v>0</v>
      </c>
      <c r="K803" s="33"/>
      <c r="L803" s="33"/>
      <c r="M803" s="33"/>
      <c r="N803" s="33"/>
      <c r="O803" s="33"/>
      <c r="P803" s="33"/>
      <c r="Q803" s="33"/>
      <c r="R803" s="33"/>
      <c r="S803" s="33"/>
      <c r="T803" s="33"/>
    </row>
    <row r="804" spans="1:20" ht="15.75">
      <c r="A804" s="13">
        <v>66354</v>
      </c>
      <c r="B804" s="41">
        <f t="shared" si="3"/>
        <v>31</v>
      </c>
      <c r="C804" s="32">
        <v>194.20500000000001</v>
      </c>
      <c r="D804" s="32">
        <v>267.46600000000001</v>
      </c>
      <c r="E804" s="38">
        <v>812.32899999999995</v>
      </c>
      <c r="F804" s="32">
        <v>1274</v>
      </c>
      <c r="G804" s="32">
        <v>50</v>
      </c>
      <c r="H804" s="40">
        <v>600</v>
      </c>
      <c r="I804" s="32">
        <v>695</v>
      </c>
      <c r="J804" s="32">
        <v>0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</row>
    <row r="805" spans="1:20" ht="15.75">
      <c r="A805" s="13">
        <v>66384</v>
      </c>
      <c r="B805" s="41">
        <f t="shared" si="3"/>
        <v>30</v>
      </c>
      <c r="C805" s="32">
        <v>194.20500000000001</v>
      </c>
      <c r="D805" s="32">
        <v>267.46600000000001</v>
      </c>
      <c r="E805" s="38">
        <v>812.32899999999995</v>
      </c>
      <c r="F805" s="32">
        <v>1274</v>
      </c>
      <c r="G805" s="32">
        <v>50</v>
      </c>
      <c r="H805" s="40">
        <v>600</v>
      </c>
      <c r="I805" s="32">
        <v>695</v>
      </c>
      <c r="J805" s="32">
        <v>0</v>
      </c>
      <c r="K805" s="33"/>
      <c r="L805" s="33"/>
      <c r="M805" s="33"/>
      <c r="N805" s="33"/>
      <c r="O805" s="33"/>
      <c r="P805" s="33"/>
      <c r="Q805" s="33"/>
      <c r="R805" s="33"/>
      <c r="S805" s="33"/>
      <c r="T805" s="33"/>
    </row>
    <row r="806" spans="1:20" ht="15.75">
      <c r="A806" s="13">
        <v>66415</v>
      </c>
      <c r="B806" s="41">
        <f t="shared" si="3"/>
        <v>31</v>
      </c>
      <c r="C806" s="32">
        <v>131.881</v>
      </c>
      <c r="D806" s="32">
        <v>277.16699999999997</v>
      </c>
      <c r="E806" s="38">
        <v>829.952</v>
      </c>
      <c r="F806" s="32">
        <v>1239</v>
      </c>
      <c r="G806" s="32">
        <v>75</v>
      </c>
      <c r="H806" s="40">
        <v>600</v>
      </c>
      <c r="I806" s="32">
        <v>695</v>
      </c>
      <c r="J806" s="32">
        <v>0</v>
      </c>
      <c r="K806" s="33"/>
      <c r="L806" s="33"/>
      <c r="M806" s="33"/>
      <c r="N806" s="33"/>
      <c r="O806" s="33"/>
      <c r="P806" s="33"/>
      <c r="Q806" s="33"/>
      <c r="R806" s="33"/>
      <c r="S806" s="33"/>
      <c r="T806" s="33"/>
    </row>
    <row r="807" spans="1:20" ht="15.75">
      <c r="A807" s="13">
        <v>66445</v>
      </c>
      <c r="B807" s="41">
        <f t="shared" si="3"/>
        <v>30</v>
      </c>
      <c r="C807" s="32">
        <v>122.58</v>
      </c>
      <c r="D807" s="32">
        <v>297.94099999999997</v>
      </c>
      <c r="E807" s="38">
        <v>729.47900000000004</v>
      </c>
      <c r="F807" s="32">
        <v>1150</v>
      </c>
      <c r="G807" s="32">
        <v>100</v>
      </c>
      <c r="H807" s="40">
        <v>600</v>
      </c>
      <c r="I807" s="32">
        <v>695</v>
      </c>
      <c r="J807" s="32">
        <v>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</row>
    <row r="808" spans="1:20" ht="15.75">
      <c r="A808" s="13">
        <v>66476</v>
      </c>
      <c r="B808" s="41">
        <f t="shared" si="3"/>
        <v>31</v>
      </c>
      <c r="C808" s="32">
        <v>122.58</v>
      </c>
      <c r="D808" s="32">
        <v>297.94099999999997</v>
      </c>
      <c r="E808" s="38">
        <v>729.47900000000004</v>
      </c>
      <c r="F808" s="32">
        <v>1150</v>
      </c>
      <c r="G808" s="32">
        <v>100</v>
      </c>
      <c r="H808" s="40">
        <v>600</v>
      </c>
      <c r="I808" s="32">
        <v>695</v>
      </c>
      <c r="J808" s="32">
        <v>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</row>
    <row r="809" spans="1:20" ht="15.75">
      <c r="A809" s="13">
        <v>66507</v>
      </c>
      <c r="B809" s="41">
        <f t="shared" si="3"/>
        <v>31</v>
      </c>
      <c r="C809" s="32">
        <v>122.58</v>
      </c>
      <c r="D809" s="32">
        <v>297.94099999999997</v>
      </c>
      <c r="E809" s="38">
        <v>729.47900000000004</v>
      </c>
      <c r="F809" s="32">
        <v>1150</v>
      </c>
      <c r="G809" s="32">
        <v>100</v>
      </c>
      <c r="H809" s="40">
        <v>600</v>
      </c>
      <c r="I809" s="32">
        <v>695</v>
      </c>
      <c r="J809" s="32">
        <v>50</v>
      </c>
      <c r="K809" s="33"/>
      <c r="L809" s="33"/>
      <c r="M809" s="33"/>
      <c r="N809" s="33"/>
      <c r="O809" s="33"/>
      <c r="P809" s="33"/>
      <c r="Q809" s="33"/>
      <c r="R809" s="33"/>
      <c r="S809" s="33"/>
      <c r="T809" s="33"/>
    </row>
    <row r="810" spans="1:20" ht="15.75">
      <c r="A810" s="13">
        <v>66535</v>
      </c>
      <c r="B810" s="41">
        <f t="shared" si="3"/>
        <v>28</v>
      </c>
      <c r="C810" s="32">
        <v>122.58</v>
      </c>
      <c r="D810" s="32">
        <v>297.94099999999997</v>
      </c>
      <c r="E810" s="38">
        <v>729.47900000000004</v>
      </c>
      <c r="F810" s="32">
        <v>1150</v>
      </c>
      <c r="G810" s="32">
        <v>100</v>
      </c>
      <c r="H810" s="40">
        <v>600</v>
      </c>
      <c r="I810" s="32">
        <v>695</v>
      </c>
      <c r="J810" s="32">
        <v>50</v>
      </c>
      <c r="K810" s="33"/>
      <c r="L810" s="33"/>
      <c r="M810" s="33"/>
      <c r="N810" s="33"/>
      <c r="O810" s="33"/>
      <c r="P810" s="33"/>
      <c r="Q810" s="33"/>
      <c r="R810" s="33"/>
      <c r="S810" s="33"/>
      <c r="T810" s="33"/>
    </row>
    <row r="811" spans="1:20" ht="15.75">
      <c r="A811" s="13">
        <v>66566</v>
      </c>
      <c r="B811" s="41">
        <f t="shared" si="3"/>
        <v>31</v>
      </c>
      <c r="C811" s="32">
        <v>122.58</v>
      </c>
      <c r="D811" s="32">
        <v>297.94099999999997</v>
      </c>
      <c r="E811" s="38">
        <v>729.47900000000004</v>
      </c>
      <c r="F811" s="32">
        <v>1150</v>
      </c>
      <c r="G811" s="32">
        <v>100</v>
      </c>
      <c r="H811" s="40">
        <v>600</v>
      </c>
      <c r="I811" s="32">
        <v>695</v>
      </c>
      <c r="J811" s="32">
        <v>50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</row>
    <row r="812" spans="1:20" ht="15.75">
      <c r="A812" s="13">
        <v>66596</v>
      </c>
      <c r="B812" s="41">
        <f t="shared" si="3"/>
        <v>30</v>
      </c>
      <c r="C812" s="32">
        <v>141.29300000000001</v>
      </c>
      <c r="D812" s="32">
        <v>267.99299999999999</v>
      </c>
      <c r="E812" s="38">
        <v>829.71400000000006</v>
      </c>
      <c r="F812" s="32">
        <v>1239</v>
      </c>
      <c r="G812" s="32">
        <v>100</v>
      </c>
      <c r="H812" s="40">
        <v>600</v>
      </c>
      <c r="I812" s="32">
        <v>695</v>
      </c>
      <c r="J812" s="32">
        <v>50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</row>
    <row r="813" spans="1:20" ht="15.75">
      <c r="A813" s="13">
        <v>66627</v>
      </c>
      <c r="B813" s="41">
        <f t="shared" si="3"/>
        <v>31</v>
      </c>
      <c r="C813" s="32">
        <v>194.20500000000001</v>
      </c>
      <c r="D813" s="32">
        <v>267.46600000000001</v>
      </c>
      <c r="E813" s="38">
        <v>812.32899999999995</v>
      </c>
      <c r="F813" s="32">
        <v>1274</v>
      </c>
      <c r="G813" s="32">
        <v>75</v>
      </c>
      <c r="H813" s="40">
        <v>600</v>
      </c>
      <c r="I813" s="32">
        <v>695</v>
      </c>
      <c r="J813" s="32">
        <v>50</v>
      </c>
      <c r="K813" s="33"/>
      <c r="L813" s="33"/>
      <c r="M813" s="33"/>
      <c r="N813" s="33"/>
      <c r="O813" s="33"/>
      <c r="P813" s="33"/>
      <c r="Q813" s="33"/>
      <c r="R813" s="33"/>
      <c r="S813" s="33"/>
      <c r="T813" s="33"/>
    </row>
    <row r="814" spans="1:20" ht="15.75">
      <c r="A814" s="13">
        <v>66657</v>
      </c>
      <c r="B814" s="41">
        <f t="shared" si="3"/>
        <v>30</v>
      </c>
      <c r="C814" s="32">
        <v>194.20500000000001</v>
      </c>
      <c r="D814" s="32">
        <v>267.46600000000001</v>
      </c>
      <c r="E814" s="38">
        <v>812.32899999999995</v>
      </c>
      <c r="F814" s="32">
        <v>1274</v>
      </c>
      <c r="G814" s="32">
        <v>50</v>
      </c>
      <c r="H814" s="40">
        <v>600</v>
      </c>
      <c r="I814" s="32">
        <v>695</v>
      </c>
      <c r="J814" s="32">
        <v>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</row>
    <row r="815" spans="1:20" ht="15.75">
      <c r="A815" s="13">
        <v>66688</v>
      </c>
      <c r="B815" s="41">
        <f t="shared" si="3"/>
        <v>31</v>
      </c>
      <c r="C815" s="32">
        <v>194.20500000000001</v>
      </c>
      <c r="D815" s="32">
        <v>267.46600000000001</v>
      </c>
      <c r="E815" s="38">
        <v>812.32899999999995</v>
      </c>
      <c r="F815" s="32">
        <v>1274</v>
      </c>
      <c r="G815" s="32">
        <v>50</v>
      </c>
      <c r="H815" s="40">
        <v>600</v>
      </c>
      <c r="I815" s="32">
        <v>695</v>
      </c>
      <c r="J815" s="32">
        <v>0</v>
      </c>
      <c r="K815" s="33"/>
      <c r="L815" s="33"/>
      <c r="M815" s="33"/>
      <c r="N815" s="33"/>
      <c r="O815" s="33"/>
      <c r="P815" s="33"/>
      <c r="Q815" s="33"/>
      <c r="R815" s="33"/>
      <c r="S815" s="33"/>
      <c r="T815" s="33"/>
    </row>
    <row r="816" spans="1:20" ht="15.75">
      <c r="A816" s="13">
        <v>66719</v>
      </c>
      <c r="B816" s="41">
        <f t="shared" si="3"/>
        <v>31</v>
      </c>
      <c r="C816" s="32">
        <v>194.20500000000001</v>
      </c>
      <c r="D816" s="32">
        <v>267.46600000000001</v>
      </c>
      <c r="E816" s="38">
        <v>812.32899999999995</v>
      </c>
      <c r="F816" s="32">
        <v>1274</v>
      </c>
      <c r="G816" s="32">
        <v>50</v>
      </c>
      <c r="H816" s="40">
        <v>600</v>
      </c>
      <c r="I816" s="32">
        <v>695</v>
      </c>
      <c r="J816" s="32">
        <v>0</v>
      </c>
      <c r="K816" s="33"/>
      <c r="L816" s="33"/>
      <c r="M816" s="33"/>
      <c r="N816" s="33"/>
      <c r="O816" s="33"/>
      <c r="P816" s="33"/>
      <c r="Q816" s="33"/>
      <c r="R816" s="33"/>
      <c r="S816" s="33"/>
      <c r="T816" s="33"/>
    </row>
    <row r="817" spans="1:20" ht="15.75">
      <c r="A817" s="13">
        <v>66749</v>
      </c>
      <c r="B817" s="41">
        <f t="shared" si="3"/>
        <v>30</v>
      </c>
      <c r="C817" s="32">
        <v>194.20500000000001</v>
      </c>
      <c r="D817" s="32">
        <v>267.46600000000001</v>
      </c>
      <c r="E817" s="38">
        <v>812.32899999999995</v>
      </c>
      <c r="F817" s="32">
        <v>1274</v>
      </c>
      <c r="G817" s="32">
        <v>50</v>
      </c>
      <c r="H817" s="40">
        <v>600</v>
      </c>
      <c r="I817" s="32">
        <v>695</v>
      </c>
      <c r="J817" s="32">
        <v>0</v>
      </c>
      <c r="K817" s="33"/>
      <c r="L817" s="33"/>
      <c r="M817" s="33"/>
      <c r="N817" s="33"/>
      <c r="O817" s="33"/>
      <c r="P817" s="33"/>
      <c r="Q817" s="33"/>
      <c r="R817" s="33"/>
      <c r="S817" s="33"/>
      <c r="T817" s="33"/>
    </row>
    <row r="818" spans="1:20" ht="15.75">
      <c r="A818" s="13">
        <v>66780</v>
      </c>
      <c r="B818" s="41">
        <f t="shared" si="3"/>
        <v>31</v>
      </c>
      <c r="C818" s="32">
        <v>131.881</v>
      </c>
      <c r="D818" s="32">
        <v>277.16699999999997</v>
      </c>
      <c r="E818" s="38">
        <v>829.952</v>
      </c>
      <c r="F818" s="32">
        <v>1239</v>
      </c>
      <c r="G818" s="32">
        <v>75</v>
      </c>
      <c r="H818" s="40">
        <v>600</v>
      </c>
      <c r="I818" s="32">
        <v>695</v>
      </c>
      <c r="J818" s="32">
        <v>0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</row>
    <row r="819" spans="1:20" ht="15.75">
      <c r="A819" s="13">
        <v>66810</v>
      </c>
      <c r="B819" s="41">
        <f t="shared" si="3"/>
        <v>30</v>
      </c>
      <c r="C819" s="32">
        <v>122.58</v>
      </c>
      <c r="D819" s="32">
        <v>297.94099999999997</v>
      </c>
      <c r="E819" s="38">
        <v>729.47900000000004</v>
      </c>
      <c r="F819" s="32">
        <v>1150</v>
      </c>
      <c r="G819" s="32">
        <v>100</v>
      </c>
      <c r="H819" s="40">
        <v>600</v>
      </c>
      <c r="I819" s="32">
        <v>695</v>
      </c>
      <c r="J819" s="32">
        <v>50</v>
      </c>
      <c r="K819" s="33"/>
      <c r="L819" s="33"/>
      <c r="M819" s="33"/>
      <c r="N819" s="33"/>
      <c r="O819" s="33"/>
      <c r="P819" s="33"/>
      <c r="Q819" s="33"/>
      <c r="R819" s="33"/>
      <c r="S819" s="33"/>
      <c r="T819" s="33"/>
    </row>
    <row r="820" spans="1:20" ht="15.75">
      <c r="A820" s="13">
        <v>66841</v>
      </c>
      <c r="B820" s="41">
        <f t="shared" si="3"/>
        <v>31</v>
      </c>
      <c r="C820" s="32">
        <v>122.58</v>
      </c>
      <c r="D820" s="32">
        <v>297.94099999999997</v>
      </c>
      <c r="E820" s="38">
        <v>729.47900000000004</v>
      </c>
      <c r="F820" s="32">
        <v>1150</v>
      </c>
      <c r="G820" s="32">
        <v>100</v>
      </c>
      <c r="H820" s="40">
        <v>600</v>
      </c>
      <c r="I820" s="32">
        <v>695</v>
      </c>
      <c r="J820" s="32">
        <v>50</v>
      </c>
      <c r="K820" s="33"/>
      <c r="L820" s="33"/>
      <c r="M820" s="33"/>
      <c r="N820" s="33"/>
      <c r="O820" s="33"/>
      <c r="P820" s="33"/>
      <c r="Q820" s="33"/>
      <c r="R820" s="33"/>
      <c r="S820" s="33"/>
      <c r="T820" s="33"/>
    </row>
    <row r="821" spans="1:20" ht="15.75">
      <c r="A821" s="13">
        <v>66872</v>
      </c>
      <c r="B821" s="41">
        <f t="shared" si="3"/>
        <v>31</v>
      </c>
      <c r="C821" s="32">
        <v>122.58</v>
      </c>
      <c r="D821" s="32">
        <v>297.94099999999997</v>
      </c>
      <c r="E821" s="38">
        <v>729.47900000000004</v>
      </c>
      <c r="F821" s="32">
        <v>1150</v>
      </c>
      <c r="G821" s="32">
        <v>100</v>
      </c>
      <c r="H821" s="40">
        <v>600</v>
      </c>
      <c r="I821" s="32">
        <v>695</v>
      </c>
      <c r="J821" s="32">
        <v>50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</row>
    <row r="822" spans="1:20" ht="15.75">
      <c r="A822" s="13">
        <v>66900</v>
      </c>
      <c r="B822" s="41">
        <f t="shared" si="3"/>
        <v>28</v>
      </c>
      <c r="C822" s="32">
        <v>122.58</v>
      </c>
      <c r="D822" s="32">
        <v>297.94099999999997</v>
      </c>
      <c r="E822" s="38">
        <v>729.47900000000004</v>
      </c>
      <c r="F822" s="32">
        <v>1150</v>
      </c>
      <c r="G822" s="32">
        <v>100</v>
      </c>
      <c r="H822" s="40">
        <v>600</v>
      </c>
      <c r="I822" s="32">
        <v>695</v>
      </c>
      <c r="J822" s="32">
        <v>50</v>
      </c>
      <c r="K822" s="33"/>
      <c r="L822" s="33"/>
      <c r="M822" s="33"/>
      <c r="N822" s="33"/>
      <c r="O822" s="33"/>
      <c r="P822" s="33"/>
      <c r="Q822" s="33"/>
      <c r="R822" s="33"/>
      <c r="S822" s="33"/>
      <c r="T822" s="33"/>
    </row>
    <row r="823" spans="1:20" ht="15.75">
      <c r="A823" s="13">
        <v>66931</v>
      </c>
      <c r="B823" s="41">
        <f t="shared" si="3"/>
        <v>31</v>
      </c>
      <c r="C823" s="32">
        <v>122.58</v>
      </c>
      <c r="D823" s="32">
        <v>297.94099999999997</v>
      </c>
      <c r="E823" s="38">
        <v>729.47900000000004</v>
      </c>
      <c r="F823" s="32">
        <v>1150</v>
      </c>
      <c r="G823" s="32">
        <v>100</v>
      </c>
      <c r="H823" s="40">
        <v>600</v>
      </c>
      <c r="I823" s="32">
        <v>695</v>
      </c>
      <c r="J823" s="32">
        <v>50</v>
      </c>
      <c r="K823" s="33"/>
      <c r="L823" s="33"/>
      <c r="M823" s="33"/>
      <c r="N823" s="33"/>
      <c r="O823" s="33"/>
      <c r="P823" s="33"/>
      <c r="Q823" s="33"/>
      <c r="R823" s="33"/>
      <c r="S823" s="33"/>
      <c r="T823" s="33"/>
    </row>
    <row r="824" spans="1:20" ht="15.75">
      <c r="A824" s="13">
        <v>66961</v>
      </c>
      <c r="B824" s="41">
        <f t="shared" si="3"/>
        <v>30</v>
      </c>
      <c r="C824" s="32">
        <v>141.29300000000001</v>
      </c>
      <c r="D824" s="32">
        <v>267.99299999999999</v>
      </c>
      <c r="E824" s="38">
        <v>829.71400000000006</v>
      </c>
      <c r="F824" s="32">
        <v>1239</v>
      </c>
      <c r="G824" s="32">
        <v>100</v>
      </c>
      <c r="H824" s="40">
        <v>600</v>
      </c>
      <c r="I824" s="32">
        <v>695</v>
      </c>
      <c r="J824" s="32">
        <v>50</v>
      </c>
      <c r="K824" s="33"/>
      <c r="L824" s="33"/>
      <c r="M824" s="33"/>
      <c r="N824" s="33"/>
      <c r="O824" s="33"/>
      <c r="P824" s="33"/>
      <c r="Q824" s="33"/>
      <c r="R824" s="33"/>
      <c r="S824" s="33"/>
      <c r="T824" s="33"/>
    </row>
    <row r="825" spans="1:20" ht="15.75">
      <c r="A825" s="13">
        <v>66992</v>
      </c>
      <c r="B825" s="41">
        <f t="shared" ref="B825:B888" si="4">EOMONTH(A825,0)-EOMONTH(A825,-1)</f>
        <v>31</v>
      </c>
      <c r="C825" s="32">
        <v>194.20500000000001</v>
      </c>
      <c r="D825" s="32">
        <v>267.46600000000001</v>
      </c>
      <c r="E825" s="38">
        <v>812.32899999999995</v>
      </c>
      <c r="F825" s="32">
        <v>1274</v>
      </c>
      <c r="G825" s="32">
        <v>75</v>
      </c>
      <c r="H825" s="40">
        <v>600</v>
      </c>
      <c r="I825" s="32">
        <v>695</v>
      </c>
      <c r="J825" s="32">
        <v>50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</row>
    <row r="826" spans="1:20" ht="15.75">
      <c r="A826" s="13">
        <v>67022</v>
      </c>
      <c r="B826" s="41">
        <f t="shared" si="4"/>
        <v>30</v>
      </c>
      <c r="C826" s="32">
        <v>194.20500000000001</v>
      </c>
      <c r="D826" s="32">
        <v>267.46600000000001</v>
      </c>
      <c r="E826" s="38">
        <v>812.32899999999995</v>
      </c>
      <c r="F826" s="32">
        <v>1274</v>
      </c>
      <c r="G826" s="32">
        <v>50</v>
      </c>
      <c r="H826" s="40">
        <v>600</v>
      </c>
      <c r="I826" s="32">
        <v>695</v>
      </c>
      <c r="J826" s="32">
        <v>50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</row>
    <row r="827" spans="1:20" ht="15.75">
      <c r="A827" s="13">
        <v>67053</v>
      </c>
      <c r="B827" s="41">
        <f t="shared" si="4"/>
        <v>31</v>
      </c>
      <c r="C827" s="32">
        <v>194.20500000000001</v>
      </c>
      <c r="D827" s="32">
        <v>267.46600000000001</v>
      </c>
      <c r="E827" s="38">
        <v>812.32899999999995</v>
      </c>
      <c r="F827" s="32">
        <v>1274</v>
      </c>
      <c r="G827" s="32">
        <v>50</v>
      </c>
      <c r="H827" s="40">
        <v>600</v>
      </c>
      <c r="I827" s="32">
        <v>695</v>
      </c>
      <c r="J827" s="32">
        <v>0</v>
      </c>
      <c r="K827" s="33"/>
      <c r="L827" s="33"/>
      <c r="M827" s="33"/>
      <c r="N827" s="33"/>
      <c r="O827" s="33"/>
      <c r="P827" s="33"/>
      <c r="Q827" s="33"/>
      <c r="R827" s="33"/>
      <c r="S827" s="33"/>
      <c r="T827" s="33"/>
    </row>
    <row r="828" spans="1:20" ht="15.75">
      <c r="A828" s="13">
        <v>67084</v>
      </c>
      <c r="B828" s="41">
        <f t="shared" si="4"/>
        <v>31</v>
      </c>
      <c r="C828" s="32">
        <v>194.20500000000001</v>
      </c>
      <c r="D828" s="32">
        <v>267.46600000000001</v>
      </c>
      <c r="E828" s="38">
        <v>812.32899999999995</v>
      </c>
      <c r="F828" s="32">
        <v>1274</v>
      </c>
      <c r="G828" s="32">
        <v>50</v>
      </c>
      <c r="H828" s="40">
        <v>600</v>
      </c>
      <c r="I828" s="32">
        <v>695</v>
      </c>
      <c r="J828" s="32">
        <v>0</v>
      </c>
      <c r="K828" s="33"/>
      <c r="L828" s="33"/>
      <c r="M828" s="33"/>
      <c r="N828" s="33"/>
      <c r="O828" s="33"/>
      <c r="P828" s="33"/>
      <c r="Q828" s="33"/>
      <c r="R828" s="33"/>
      <c r="S828" s="33"/>
      <c r="T828" s="33"/>
    </row>
    <row r="829" spans="1:20" ht="15.75">
      <c r="A829" s="13">
        <v>67114</v>
      </c>
      <c r="B829" s="41">
        <f t="shared" si="4"/>
        <v>30</v>
      </c>
      <c r="C829" s="32">
        <v>194.20500000000001</v>
      </c>
      <c r="D829" s="32">
        <v>267.46600000000001</v>
      </c>
      <c r="E829" s="38">
        <v>812.32899999999995</v>
      </c>
      <c r="F829" s="32">
        <v>1274</v>
      </c>
      <c r="G829" s="32">
        <v>50</v>
      </c>
      <c r="H829" s="40">
        <v>600</v>
      </c>
      <c r="I829" s="32">
        <v>695</v>
      </c>
      <c r="J829" s="32">
        <v>0</v>
      </c>
      <c r="K829" s="33"/>
      <c r="L829" s="33"/>
      <c r="M829" s="33"/>
      <c r="N829" s="33"/>
      <c r="O829" s="33"/>
      <c r="P829" s="33"/>
      <c r="Q829" s="33"/>
      <c r="R829" s="33"/>
      <c r="S829" s="33"/>
      <c r="T829" s="33"/>
    </row>
    <row r="830" spans="1:20" ht="15.75">
      <c r="A830" s="13">
        <v>67145</v>
      </c>
      <c r="B830" s="41">
        <f t="shared" si="4"/>
        <v>31</v>
      </c>
      <c r="C830" s="32">
        <v>131.881</v>
      </c>
      <c r="D830" s="32">
        <v>277.16699999999997</v>
      </c>
      <c r="E830" s="38">
        <v>829.952</v>
      </c>
      <c r="F830" s="32">
        <v>1239</v>
      </c>
      <c r="G830" s="32">
        <v>75</v>
      </c>
      <c r="H830" s="40">
        <v>600</v>
      </c>
      <c r="I830" s="32">
        <v>695</v>
      </c>
      <c r="J830" s="32">
        <v>0</v>
      </c>
      <c r="K830" s="33"/>
      <c r="L830" s="33"/>
      <c r="M830" s="33"/>
      <c r="N830" s="33"/>
      <c r="O830" s="33"/>
      <c r="P830" s="33"/>
      <c r="Q830" s="33"/>
      <c r="R830" s="33"/>
      <c r="S830" s="33"/>
      <c r="T830" s="33"/>
    </row>
    <row r="831" spans="1:20" ht="15.75">
      <c r="A831" s="13">
        <v>67175</v>
      </c>
      <c r="B831" s="41">
        <f t="shared" si="4"/>
        <v>30</v>
      </c>
      <c r="C831" s="32">
        <v>122.58</v>
      </c>
      <c r="D831" s="32">
        <v>297.94099999999997</v>
      </c>
      <c r="E831" s="38">
        <v>729.47900000000004</v>
      </c>
      <c r="F831" s="32">
        <v>1150</v>
      </c>
      <c r="G831" s="32">
        <v>100</v>
      </c>
      <c r="H831" s="40">
        <v>600</v>
      </c>
      <c r="I831" s="32">
        <v>695</v>
      </c>
      <c r="J831" s="32">
        <v>50</v>
      </c>
      <c r="K831" s="33"/>
      <c r="L831" s="33"/>
      <c r="M831" s="33"/>
      <c r="N831" s="33"/>
      <c r="O831" s="33"/>
      <c r="P831" s="33"/>
      <c r="Q831" s="33"/>
      <c r="R831" s="33"/>
      <c r="S831" s="33"/>
      <c r="T831" s="33"/>
    </row>
    <row r="832" spans="1:20" ht="15.75">
      <c r="A832" s="13">
        <v>67206</v>
      </c>
      <c r="B832" s="41">
        <f t="shared" si="4"/>
        <v>31</v>
      </c>
      <c r="C832" s="32">
        <v>122.58</v>
      </c>
      <c r="D832" s="32">
        <v>297.94099999999997</v>
      </c>
      <c r="E832" s="38">
        <v>729.47900000000004</v>
      </c>
      <c r="F832" s="32">
        <v>1150</v>
      </c>
      <c r="G832" s="32">
        <v>100</v>
      </c>
      <c r="H832" s="40">
        <v>600</v>
      </c>
      <c r="I832" s="32">
        <v>695</v>
      </c>
      <c r="J832" s="32">
        <v>50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</row>
    <row r="833" spans="1:20" ht="15.75">
      <c r="A833" s="13">
        <v>67237</v>
      </c>
      <c r="B833" s="41">
        <f t="shared" si="4"/>
        <v>31</v>
      </c>
      <c r="C833" s="32">
        <v>122.58</v>
      </c>
      <c r="D833" s="32">
        <v>297.94099999999997</v>
      </c>
      <c r="E833" s="38">
        <v>729.47900000000004</v>
      </c>
      <c r="F833" s="32">
        <v>1150</v>
      </c>
      <c r="G833" s="32">
        <v>100</v>
      </c>
      <c r="H833" s="40">
        <v>600</v>
      </c>
      <c r="I833" s="32">
        <v>695</v>
      </c>
      <c r="J833" s="32">
        <v>50</v>
      </c>
      <c r="K833" s="33"/>
      <c r="L833" s="33"/>
      <c r="M833" s="33"/>
      <c r="N833" s="33"/>
      <c r="O833" s="33"/>
      <c r="P833" s="33"/>
      <c r="Q833" s="33"/>
      <c r="R833" s="33"/>
      <c r="S833" s="33"/>
      <c r="T833" s="33"/>
    </row>
    <row r="834" spans="1:20" ht="15.75">
      <c r="A834" s="13">
        <v>67266</v>
      </c>
      <c r="B834" s="41">
        <f t="shared" si="4"/>
        <v>29</v>
      </c>
      <c r="C834" s="32">
        <v>122.58</v>
      </c>
      <c r="D834" s="32">
        <v>297.94099999999997</v>
      </c>
      <c r="E834" s="38">
        <v>729.47900000000004</v>
      </c>
      <c r="F834" s="32">
        <v>1150</v>
      </c>
      <c r="G834" s="32">
        <v>100</v>
      </c>
      <c r="H834" s="40">
        <v>600</v>
      </c>
      <c r="I834" s="32">
        <v>695</v>
      </c>
      <c r="J834" s="32">
        <v>50</v>
      </c>
      <c r="K834" s="33"/>
      <c r="L834" s="33"/>
      <c r="M834" s="33"/>
      <c r="N834" s="33"/>
      <c r="O834" s="33"/>
      <c r="P834" s="33"/>
      <c r="Q834" s="33"/>
      <c r="R834" s="33"/>
      <c r="S834" s="33"/>
      <c r="T834" s="33"/>
    </row>
    <row r="835" spans="1:20" ht="15.75">
      <c r="A835" s="13">
        <v>67297</v>
      </c>
      <c r="B835" s="41">
        <f t="shared" si="4"/>
        <v>31</v>
      </c>
      <c r="C835" s="32">
        <v>122.58</v>
      </c>
      <c r="D835" s="32">
        <v>297.94099999999997</v>
      </c>
      <c r="E835" s="38">
        <v>729.47900000000004</v>
      </c>
      <c r="F835" s="32">
        <v>1150</v>
      </c>
      <c r="G835" s="32">
        <v>100</v>
      </c>
      <c r="H835" s="40">
        <v>600</v>
      </c>
      <c r="I835" s="32">
        <v>695</v>
      </c>
      <c r="J835" s="32">
        <v>50</v>
      </c>
      <c r="K835" s="33"/>
      <c r="L835" s="33"/>
      <c r="M835" s="33"/>
      <c r="N835" s="33"/>
      <c r="O835" s="33"/>
      <c r="P835" s="33"/>
      <c r="Q835" s="33"/>
      <c r="R835" s="33"/>
      <c r="S835" s="33"/>
      <c r="T835" s="33"/>
    </row>
    <row r="836" spans="1:20" ht="15.75">
      <c r="A836" s="13">
        <v>67327</v>
      </c>
      <c r="B836" s="41">
        <f t="shared" si="4"/>
        <v>30</v>
      </c>
      <c r="C836" s="32">
        <v>141.29300000000001</v>
      </c>
      <c r="D836" s="32">
        <v>267.99299999999999</v>
      </c>
      <c r="E836" s="38">
        <v>829.71400000000006</v>
      </c>
      <c r="F836" s="32">
        <v>1239</v>
      </c>
      <c r="G836" s="32">
        <v>100</v>
      </c>
      <c r="H836" s="40">
        <v>600</v>
      </c>
      <c r="I836" s="32">
        <v>695</v>
      </c>
      <c r="J836" s="32">
        <v>50</v>
      </c>
      <c r="K836" s="33"/>
      <c r="L836" s="33"/>
      <c r="M836" s="33"/>
      <c r="N836" s="33"/>
      <c r="O836" s="33"/>
      <c r="P836" s="33"/>
      <c r="Q836" s="33"/>
      <c r="R836" s="33"/>
      <c r="S836" s="33"/>
      <c r="T836" s="33"/>
    </row>
    <row r="837" spans="1:20" ht="15.75">
      <c r="A837" s="13">
        <v>67358</v>
      </c>
      <c r="B837" s="41">
        <f t="shared" si="4"/>
        <v>31</v>
      </c>
      <c r="C837" s="32">
        <v>194.20500000000001</v>
      </c>
      <c r="D837" s="32">
        <v>267.46600000000001</v>
      </c>
      <c r="E837" s="38">
        <v>812.32899999999995</v>
      </c>
      <c r="F837" s="32">
        <v>1274</v>
      </c>
      <c r="G837" s="32">
        <v>75</v>
      </c>
      <c r="H837" s="40">
        <v>600</v>
      </c>
      <c r="I837" s="32">
        <v>695</v>
      </c>
      <c r="J837" s="32">
        <v>50</v>
      </c>
      <c r="K837" s="33"/>
      <c r="L837" s="33"/>
      <c r="M837" s="33"/>
      <c r="N837" s="33"/>
      <c r="O837" s="33"/>
      <c r="P837" s="33"/>
      <c r="Q837" s="33"/>
      <c r="R837" s="33"/>
      <c r="S837" s="33"/>
      <c r="T837" s="33"/>
    </row>
    <row r="838" spans="1:20" ht="15.75">
      <c r="A838" s="13">
        <v>67388</v>
      </c>
      <c r="B838" s="41">
        <f t="shared" si="4"/>
        <v>30</v>
      </c>
      <c r="C838" s="32">
        <v>194.20500000000001</v>
      </c>
      <c r="D838" s="32">
        <v>267.46600000000001</v>
      </c>
      <c r="E838" s="38">
        <v>812.32899999999995</v>
      </c>
      <c r="F838" s="32">
        <v>1274</v>
      </c>
      <c r="G838" s="32">
        <v>50</v>
      </c>
      <c r="H838" s="40">
        <v>600</v>
      </c>
      <c r="I838" s="32">
        <v>695</v>
      </c>
      <c r="J838" s="32">
        <v>50</v>
      </c>
      <c r="K838" s="33"/>
      <c r="L838" s="33"/>
      <c r="M838" s="33"/>
      <c r="N838" s="33"/>
      <c r="O838" s="33"/>
      <c r="P838" s="33"/>
      <c r="Q838" s="33"/>
      <c r="R838" s="33"/>
      <c r="S838" s="33"/>
      <c r="T838" s="33"/>
    </row>
    <row r="839" spans="1:20" ht="15.75">
      <c r="A839" s="13">
        <v>67419</v>
      </c>
      <c r="B839" s="41">
        <f t="shared" si="4"/>
        <v>31</v>
      </c>
      <c r="C839" s="32">
        <v>194.20500000000001</v>
      </c>
      <c r="D839" s="32">
        <v>267.46600000000001</v>
      </c>
      <c r="E839" s="38">
        <v>812.32899999999995</v>
      </c>
      <c r="F839" s="32">
        <v>1274</v>
      </c>
      <c r="G839" s="32">
        <v>50</v>
      </c>
      <c r="H839" s="40">
        <v>600</v>
      </c>
      <c r="I839" s="32">
        <v>695</v>
      </c>
      <c r="J839" s="32">
        <v>0</v>
      </c>
      <c r="K839" s="33"/>
      <c r="L839" s="33"/>
      <c r="M839" s="33"/>
      <c r="N839" s="33"/>
      <c r="O839" s="33"/>
      <c r="P839" s="33"/>
      <c r="Q839" s="33"/>
      <c r="R839" s="33"/>
      <c r="S839" s="33"/>
      <c r="T839" s="33"/>
    </row>
    <row r="840" spans="1:20" ht="15.75">
      <c r="A840" s="13">
        <v>67450</v>
      </c>
      <c r="B840" s="41">
        <f t="shared" si="4"/>
        <v>31</v>
      </c>
      <c r="C840" s="32">
        <v>194.20500000000001</v>
      </c>
      <c r="D840" s="32">
        <v>267.46600000000001</v>
      </c>
      <c r="E840" s="38">
        <v>812.32899999999995</v>
      </c>
      <c r="F840" s="32">
        <v>1274</v>
      </c>
      <c r="G840" s="32">
        <v>50</v>
      </c>
      <c r="H840" s="40">
        <v>600</v>
      </c>
      <c r="I840" s="32">
        <v>695</v>
      </c>
      <c r="J840" s="32">
        <v>0</v>
      </c>
      <c r="K840" s="33"/>
      <c r="L840" s="33"/>
      <c r="M840" s="33"/>
      <c r="N840" s="33"/>
      <c r="O840" s="33"/>
      <c r="P840" s="33"/>
      <c r="Q840" s="33"/>
      <c r="R840" s="33"/>
      <c r="S840" s="33"/>
      <c r="T840" s="33"/>
    </row>
    <row r="841" spans="1:20" ht="15.75">
      <c r="A841" s="13">
        <v>67480</v>
      </c>
      <c r="B841" s="41">
        <f t="shared" si="4"/>
        <v>30</v>
      </c>
      <c r="C841" s="32">
        <v>194.20500000000001</v>
      </c>
      <c r="D841" s="32">
        <v>267.46600000000001</v>
      </c>
      <c r="E841" s="38">
        <v>812.32899999999995</v>
      </c>
      <c r="F841" s="32">
        <v>1274</v>
      </c>
      <c r="G841" s="32">
        <v>50</v>
      </c>
      <c r="H841" s="40">
        <v>600</v>
      </c>
      <c r="I841" s="32">
        <v>695</v>
      </c>
      <c r="J841" s="32">
        <v>0</v>
      </c>
      <c r="K841" s="33"/>
      <c r="L841" s="33"/>
      <c r="M841" s="33"/>
      <c r="N841" s="33"/>
      <c r="O841" s="33"/>
      <c r="P841" s="33"/>
      <c r="Q841" s="33"/>
      <c r="R841" s="33"/>
      <c r="S841" s="33"/>
      <c r="T841" s="33"/>
    </row>
    <row r="842" spans="1:20" ht="15.75">
      <c r="A842" s="13">
        <v>67511</v>
      </c>
      <c r="B842" s="41">
        <f t="shared" si="4"/>
        <v>31</v>
      </c>
      <c r="C842" s="32">
        <v>131.881</v>
      </c>
      <c r="D842" s="32">
        <v>277.16699999999997</v>
      </c>
      <c r="E842" s="38">
        <v>829.952</v>
      </c>
      <c r="F842" s="32">
        <v>1239</v>
      </c>
      <c r="G842" s="32">
        <v>75</v>
      </c>
      <c r="H842" s="40">
        <v>600</v>
      </c>
      <c r="I842" s="32">
        <v>695</v>
      </c>
      <c r="J842" s="32">
        <v>0</v>
      </c>
      <c r="K842" s="33"/>
      <c r="L842" s="33"/>
      <c r="M842" s="33"/>
      <c r="N842" s="33"/>
      <c r="O842" s="33"/>
      <c r="P842" s="33"/>
      <c r="Q842" s="33"/>
      <c r="R842" s="33"/>
      <c r="S842" s="33"/>
      <c r="T842" s="33"/>
    </row>
    <row r="843" spans="1:20" ht="15.75">
      <c r="A843" s="13">
        <v>67541</v>
      </c>
      <c r="B843" s="41">
        <f t="shared" si="4"/>
        <v>30</v>
      </c>
      <c r="C843" s="32">
        <v>122.58</v>
      </c>
      <c r="D843" s="32">
        <v>297.94099999999997</v>
      </c>
      <c r="E843" s="38">
        <v>729.47900000000004</v>
      </c>
      <c r="F843" s="32">
        <v>1150</v>
      </c>
      <c r="G843" s="32">
        <v>100</v>
      </c>
      <c r="H843" s="40">
        <v>600</v>
      </c>
      <c r="I843" s="32">
        <v>695</v>
      </c>
      <c r="J843" s="32">
        <v>50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</row>
    <row r="844" spans="1:20" ht="15.75">
      <c r="A844" s="13">
        <v>67572</v>
      </c>
      <c r="B844" s="41">
        <f t="shared" si="4"/>
        <v>31</v>
      </c>
      <c r="C844" s="32">
        <v>122.58</v>
      </c>
      <c r="D844" s="32">
        <v>297.94099999999997</v>
      </c>
      <c r="E844" s="38">
        <v>729.47900000000004</v>
      </c>
      <c r="F844" s="32">
        <v>1150</v>
      </c>
      <c r="G844" s="32">
        <v>100</v>
      </c>
      <c r="H844" s="40">
        <v>600</v>
      </c>
      <c r="I844" s="32">
        <v>695</v>
      </c>
      <c r="J844" s="32">
        <v>50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</row>
    <row r="845" spans="1:20" ht="15.75">
      <c r="A845" s="13">
        <v>67603</v>
      </c>
      <c r="B845" s="41">
        <f t="shared" si="4"/>
        <v>31</v>
      </c>
      <c r="C845" s="32">
        <v>122.58</v>
      </c>
      <c r="D845" s="32">
        <v>297.94099999999997</v>
      </c>
      <c r="E845" s="38">
        <v>729.47900000000004</v>
      </c>
      <c r="F845" s="32">
        <v>1150</v>
      </c>
      <c r="G845" s="32">
        <v>100</v>
      </c>
      <c r="H845" s="40">
        <v>600</v>
      </c>
      <c r="I845" s="32">
        <v>695</v>
      </c>
      <c r="J845" s="32">
        <v>50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</row>
    <row r="846" spans="1:20" ht="15.75">
      <c r="A846" s="13">
        <v>67631</v>
      </c>
      <c r="B846" s="41">
        <f t="shared" si="4"/>
        <v>28</v>
      </c>
      <c r="C846" s="32">
        <v>122.58</v>
      </c>
      <c r="D846" s="32">
        <v>297.94099999999997</v>
      </c>
      <c r="E846" s="38">
        <v>729.47900000000004</v>
      </c>
      <c r="F846" s="32">
        <v>1150</v>
      </c>
      <c r="G846" s="32">
        <v>100</v>
      </c>
      <c r="H846" s="40">
        <v>600</v>
      </c>
      <c r="I846" s="32">
        <v>695</v>
      </c>
      <c r="J846" s="32">
        <v>50</v>
      </c>
      <c r="K846" s="33"/>
      <c r="L846" s="33"/>
      <c r="M846" s="33"/>
      <c r="N846" s="33"/>
      <c r="O846" s="33"/>
      <c r="P846" s="33"/>
      <c r="Q846" s="33"/>
      <c r="R846" s="33"/>
      <c r="S846" s="33"/>
      <c r="T846" s="33"/>
    </row>
    <row r="847" spans="1:20" ht="15.75">
      <c r="A847" s="13">
        <v>67662</v>
      </c>
      <c r="B847" s="41">
        <f t="shared" si="4"/>
        <v>31</v>
      </c>
      <c r="C847" s="32">
        <v>122.58</v>
      </c>
      <c r="D847" s="32">
        <v>297.94099999999997</v>
      </c>
      <c r="E847" s="38">
        <v>729.47900000000004</v>
      </c>
      <c r="F847" s="32">
        <v>1150</v>
      </c>
      <c r="G847" s="32">
        <v>100</v>
      </c>
      <c r="H847" s="40">
        <v>600</v>
      </c>
      <c r="I847" s="32">
        <v>695</v>
      </c>
      <c r="J847" s="32">
        <v>50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</row>
    <row r="848" spans="1:20" ht="15.75">
      <c r="A848" s="13">
        <v>67692</v>
      </c>
      <c r="B848" s="41">
        <f t="shared" si="4"/>
        <v>30</v>
      </c>
      <c r="C848" s="32">
        <v>141.29300000000001</v>
      </c>
      <c r="D848" s="32">
        <v>267.99299999999999</v>
      </c>
      <c r="E848" s="38">
        <v>829.71400000000006</v>
      </c>
      <c r="F848" s="32">
        <v>1239</v>
      </c>
      <c r="G848" s="32">
        <v>100</v>
      </c>
      <c r="H848" s="40">
        <v>600</v>
      </c>
      <c r="I848" s="32">
        <v>695</v>
      </c>
      <c r="J848" s="32">
        <v>50</v>
      </c>
      <c r="K848" s="33"/>
      <c r="L848" s="33"/>
      <c r="M848" s="33"/>
      <c r="N848" s="33"/>
      <c r="O848" s="33"/>
      <c r="P848" s="33"/>
      <c r="Q848" s="33"/>
      <c r="R848" s="33"/>
      <c r="S848" s="33"/>
      <c r="T848" s="33"/>
    </row>
    <row r="849" spans="1:20" ht="15.75">
      <c r="A849" s="13">
        <v>67723</v>
      </c>
      <c r="B849" s="41">
        <f t="shared" si="4"/>
        <v>31</v>
      </c>
      <c r="C849" s="32">
        <v>194.20500000000001</v>
      </c>
      <c r="D849" s="32">
        <v>267.46600000000001</v>
      </c>
      <c r="E849" s="38">
        <v>812.32899999999995</v>
      </c>
      <c r="F849" s="32">
        <v>1274</v>
      </c>
      <c r="G849" s="32">
        <v>75</v>
      </c>
      <c r="H849" s="40">
        <v>600</v>
      </c>
      <c r="I849" s="32">
        <v>695</v>
      </c>
      <c r="J849" s="32">
        <v>50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</row>
    <row r="850" spans="1:20" ht="15.75">
      <c r="A850" s="13">
        <v>67753</v>
      </c>
      <c r="B850" s="41">
        <f t="shared" si="4"/>
        <v>30</v>
      </c>
      <c r="C850" s="32">
        <v>194.20500000000001</v>
      </c>
      <c r="D850" s="32">
        <v>267.46600000000001</v>
      </c>
      <c r="E850" s="38">
        <v>812.32899999999995</v>
      </c>
      <c r="F850" s="32">
        <v>1274</v>
      </c>
      <c r="G850" s="32">
        <v>50</v>
      </c>
      <c r="H850" s="40">
        <v>600</v>
      </c>
      <c r="I850" s="32">
        <v>695</v>
      </c>
      <c r="J850" s="32">
        <v>50</v>
      </c>
      <c r="K850" s="33"/>
      <c r="L850" s="33"/>
      <c r="M850" s="33"/>
      <c r="N850" s="33"/>
      <c r="O850" s="33"/>
      <c r="P850" s="33"/>
      <c r="Q850" s="33"/>
      <c r="R850" s="33"/>
      <c r="S850" s="33"/>
      <c r="T850" s="33"/>
    </row>
    <row r="851" spans="1:20" ht="15.75">
      <c r="A851" s="13">
        <v>67784</v>
      </c>
      <c r="B851" s="41">
        <f t="shared" si="4"/>
        <v>31</v>
      </c>
      <c r="C851" s="32">
        <v>194.20500000000001</v>
      </c>
      <c r="D851" s="32">
        <v>267.46600000000001</v>
      </c>
      <c r="E851" s="38">
        <v>812.32899999999995</v>
      </c>
      <c r="F851" s="32">
        <v>1274</v>
      </c>
      <c r="G851" s="32">
        <v>50</v>
      </c>
      <c r="H851" s="40">
        <v>600</v>
      </c>
      <c r="I851" s="32">
        <v>695</v>
      </c>
      <c r="J851" s="32">
        <v>0</v>
      </c>
      <c r="K851" s="33"/>
      <c r="L851" s="33"/>
      <c r="M851" s="33"/>
      <c r="N851" s="33"/>
      <c r="O851" s="33"/>
      <c r="P851" s="33"/>
      <c r="Q851" s="33"/>
      <c r="R851" s="33"/>
      <c r="S851" s="33"/>
      <c r="T851" s="33"/>
    </row>
    <row r="852" spans="1:20" ht="15.75">
      <c r="A852" s="13">
        <v>67815</v>
      </c>
      <c r="B852" s="41">
        <f t="shared" si="4"/>
        <v>31</v>
      </c>
      <c r="C852" s="32">
        <v>194.20500000000001</v>
      </c>
      <c r="D852" s="32">
        <v>267.46600000000001</v>
      </c>
      <c r="E852" s="38">
        <v>812.32899999999995</v>
      </c>
      <c r="F852" s="32">
        <v>1274</v>
      </c>
      <c r="G852" s="32">
        <v>50</v>
      </c>
      <c r="H852" s="40">
        <v>600</v>
      </c>
      <c r="I852" s="32">
        <v>695</v>
      </c>
      <c r="J852" s="32">
        <v>0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</row>
    <row r="853" spans="1:20" ht="15.75">
      <c r="A853" s="13">
        <v>67845</v>
      </c>
      <c r="B853" s="41">
        <f t="shared" si="4"/>
        <v>30</v>
      </c>
      <c r="C853" s="32">
        <v>194.20500000000001</v>
      </c>
      <c r="D853" s="32">
        <v>267.46600000000001</v>
      </c>
      <c r="E853" s="38">
        <v>812.32899999999995</v>
      </c>
      <c r="F853" s="32">
        <v>1274</v>
      </c>
      <c r="G853" s="32">
        <v>50</v>
      </c>
      <c r="H853" s="40">
        <v>600</v>
      </c>
      <c r="I853" s="32">
        <v>695</v>
      </c>
      <c r="J853" s="32">
        <v>0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</row>
    <row r="854" spans="1:20" ht="15.75">
      <c r="A854" s="13">
        <v>67876</v>
      </c>
      <c r="B854" s="41">
        <f t="shared" si="4"/>
        <v>31</v>
      </c>
      <c r="C854" s="32">
        <v>131.881</v>
      </c>
      <c r="D854" s="32">
        <v>277.16699999999997</v>
      </c>
      <c r="E854" s="38">
        <v>829.952</v>
      </c>
      <c r="F854" s="32">
        <v>1239</v>
      </c>
      <c r="G854" s="32">
        <v>75</v>
      </c>
      <c r="H854" s="40">
        <v>600</v>
      </c>
      <c r="I854" s="32">
        <v>695</v>
      </c>
      <c r="J854" s="32">
        <v>0</v>
      </c>
      <c r="K854" s="33"/>
      <c r="L854" s="33"/>
      <c r="M854" s="33"/>
      <c r="N854" s="33"/>
      <c r="O854" s="33"/>
      <c r="P854" s="33"/>
      <c r="Q854" s="33"/>
      <c r="R854" s="33"/>
      <c r="S854" s="33"/>
      <c r="T854" s="33"/>
    </row>
    <row r="855" spans="1:20" ht="15.75">
      <c r="A855" s="13">
        <v>67906</v>
      </c>
      <c r="B855" s="41">
        <f t="shared" si="4"/>
        <v>30</v>
      </c>
      <c r="C855" s="32">
        <v>122.58</v>
      </c>
      <c r="D855" s="32">
        <v>297.94099999999997</v>
      </c>
      <c r="E855" s="38">
        <v>729.47900000000004</v>
      </c>
      <c r="F855" s="32">
        <v>1150</v>
      </c>
      <c r="G855" s="32">
        <v>100</v>
      </c>
      <c r="H855" s="40">
        <v>600</v>
      </c>
      <c r="I855" s="32">
        <v>695</v>
      </c>
      <c r="J855" s="32">
        <v>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</row>
    <row r="856" spans="1:20" ht="15.75">
      <c r="A856" s="13">
        <v>67937</v>
      </c>
      <c r="B856" s="41">
        <f t="shared" si="4"/>
        <v>31</v>
      </c>
      <c r="C856" s="32">
        <v>122.58</v>
      </c>
      <c r="D856" s="32">
        <v>297.94099999999997</v>
      </c>
      <c r="E856" s="38">
        <v>729.47900000000004</v>
      </c>
      <c r="F856" s="32">
        <v>1150</v>
      </c>
      <c r="G856" s="32">
        <v>100</v>
      </c>
      <c r="H856" s="40">
        <v>600</v>
      </c>
      <c r="I856" s="32">
        <v>695</v>
      </c>
      <c r="J856" s="32">
        <v>50</v>
      </c>
      <c r="K856" s="33"/>
      <c r="L856" s="33"/>
      <c r="M856" s="33"/>
      <c r="N856" s="33"/>
      <c r="O856" s="33"/>
      <c r="P856" s="33"/>
      <c r="Q856" s="33"/>
      <c r="R856" s="33"/>
      <c r="S856" s="33"/>
      <c r="T856" s="33"/>
    </row>
    <row r="857" spans="1:20" ht="15.75">
      <c r="A857" s="13">
        <v>67968</v>
      </c>
      <c r="B857" s="41">
        <f t="shared" si="4"/>
        <v>31</v>
      </c>
      <c r="C857" s="32">
        <v>122.58</v>
      </c>
      <c r="D857" s="32">
        <v>297.94099999999997</v>
      </c>
      <c r="E857" s="38">
        <v>729.47900000000004</v>
      </c>
      <c r="F857" s="32">
        <v>1150</v>
      </c>
      <c r="G857" s="32">
        <v>100</v>
      </c>
      <c r="H857" s="40">
        <v>600</v>
      </c>
      <c r="I857" s="32">
        <v>695</v>
      </c>
      <c r="J857" s="32">
        <v>50</v>
      </c>
      <c r="K857" s="33"/>
      <c r="L857" s="33"/>
      <c r="M857" s="33"/>
      <c r="N857" s="33"/>
      <c r="O857" s="33"/>
      <c r="P857" s="33"/>
      <c r="Q857" s="33"/>
      <c r="R857" s="33"/>
      <c r="S857" s="33"/>
      <c r="T857" s="33"/>
    </row>
    <row r="858" spans="1:20" ht="15.75">
      <c r="A858" s="13">
        <v>67996</v>
      </c>
      <c r="B858" s="41">
        <f t="shared" si="4"/>
        <v>28</v>
      </c>
      <c r="C858" s="32">
        <v>122.58</v>
      </c>
      <c r="D858" s="32">
        <v>297.94099999999997</v>
      </c>
      <c r="E858" s="38">
        <v>729.47900000000004</v>
      </c>
      <c r="F858" s="32">
        <v>1150</v>
      </c>
      <c r="G858" s="32">
        <v>100</v>
      </c>
      <c r="H858" s="40">
        <v>600</v>
      </c>
      <c r="I858" s="32">
        <v>695</v>
      </c>
      <c r="J858" s="32">
        <v>50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</row>
    <row r="859" spans="1:20" ht="15.75">
      <c r="A859" s="13">
        <v>68027</v>
      </c>
      <c r="B859" s="41">
        <f t="shared" si="4"/>
        <v>31</v>
      </c>
      <c r="C859" s="32">
        <v>122.58</v>
      </c>
      <c r="D859" s="32">
        <v>297.94099999999997</v>
      </c>
      <c r="E859" s="38">
        <v>729.47900000000004</v>
      </c>
      <c r="F859" s="32">
        <v>1150</v>
      </c>
      <c r="G859" s="32">
        <v>100</v>
      </c>
      <c r="H859" s="40">
        <v>600</v>
      </c>
      <c r="I859" s="32">
        <v>695</v>
      </c>
      <c r="J859" s="32">
        <v>50</v>
      </c>
      <c r="K859" s="33"/>
      <c r="L859" s="33"/>
      <c r="M859" s="33"/>
      <c r="N859" s="33"/>
      <c r="O859" s="33"/>
      <c r="P859" s="33"/>
      <c r="Q859" s="33"/>
      <c r="R859" s="33"/>
      <c r="S859" s="33"/>
      <c r="T859" s="33"/>
    </row>
    <row r="860" spans="1:20" ht="15.75">
      <c r="A860" s="13">
        <v>68057</v>
      </c>
      <c r="B860" s="41">
        <f t="shared" si="4"/>
        <v>30</v>
      </c>
      <c r="C860" s="32">
        <v>141.29300000000001</v>
      </c>
      <c r="D860" s="32">
        <v>267.99299999999999</v>
      </c>
      <c r="E860" s="38">
        <v>829.71400000000006</v>
      </c>
      <c r="F860" s="32">
        <v>1239</v>
      </c>
      <c r="G860" s="32">
        <v>100</v>
      </c>
      <c r="H860" s="40">
        <v>600</v>
      </c>
      <c r="I860" s="32">
        <v>695</v>
      </c>
      <c r="J860" s="32">
        <v>50</v>
      </c>
      <c r="K860" s="33"/>
      <c r="L860" s="33"/>
      <c r="M860" s="33"/>
      <c r="N860" s="33"/>
      <c r="O860" s="33"/>
      <c r="P860" s="33"/>
      <c r="Q860" s="33"/>
      <c r="R860" s="33"/>
      <c r="S860" s="33"/>
      <c r="T860" s="33"/>
    </row>
    <row r="861" spans="1:20" ht="15.75">
      <c r="A861" s="13">
        <v>68088</v>
      </c>
      <c r="B861" s="41">
        <f t="shared" si="4"/>
        <v>31</v>
      </c>
      <c r="C861" s="32">
        <v>194.20500000000001</v>
      </c>
      <c r="D861" s="32">
        <v>267.46600000000001</v>
      </c>
      <c r="E861" s="38">
        <v>812.32899999999995</v>
      </c>
      <c r="F861" s="32">
        <v>1274</v>
      </c>
      <c r="G861" s="32">
        <v>75</v>
      </c>
      <c r="H861" s="40">
        <v>600</v>
      </c>
      <c r="I861" s="32">
        <v>695</v>
      </c>
      <c r="J861" s="32">
        <v>50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</row>
    <row r="862" spans="1:20" ht="15.75">
      <c r="A862" s="13">
        <v>68118</v>
      </c>
      <c r="B862" s="41">
        <f t="shared" si="4"/>
        <v>30</v>
      </c>
      <c r="C862" s="32">
        <v>194.20500000000001</v>
      </c>
      <c r="D862" s="32">
        <v>267.46600000000001</v>
      </c>
      <c r="E862" s="38">
        <v>812.32899999999995</v>
      </c>
      <c r="F862" s="32">
        <v>1274</v>
      </c>
      <c r="G862" s="32">
        <v>50</v>
      </c>
      <c r="H862" s="40">
        <v>600</v>
      </c>
      <c r="I862" s="32">
        <v>695</v>
      </c>
      <c r="J862" s="32">
        <v>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</row>
    <row r="863" spans="1:20" ht="15.75">
      <c r="A863" s="13">
        <v>68149</v>
      </c>
      <c r="B863" s="41">
        <f t="shared" si="4"/>
        <v>31</v>
      </c>
      <c r="C863" s="32">
        <v>194.20500000000001</v>
      </c>
      <c r="D863" s="32">
        <v>267.46600000000001</v>
      </c>
      <c r="E863" s="38">
        <v>812.32899999999995</v>
      </c>
      <c r="F863" s="32">
        <v>1274</v>
      </c>
      <c r="G863" s="32">
        <v>50</v>
      </c>
      <c r="H863" s="40">
        <v>600</v>
      </c>
      <c r="I863" s="32">
        <v>695</v>
      </c>
      <c r="J863" s="32">
        <v>0</v>
      </c>
      <c r="K863" s="33"/>
      <c r="L863" s="33"/>
      <c r="M863" s="33"/>
      <c r="N863" s="33"/>
      <c r="O863" s="33"/>
      <c r="P863" s="33"/>
      <c r="Q863" s="33"/>
      <c r="R863" s="33"/>
      <c r="S863" s="33"/>
      <c r="T863" s="33"/>
    </row>
    <row r="864" spans="1:20" ht="15.75">
      <c r="A864" s="13">
        <v>68180</v>
      </c>
      <c r="B864" s="41">
        <f t="shared" si="4"/>
        <v>31</v>
      </c>
      <c r="C864" s="32">
        <v>194.20500000000001</v>
      </c>
      <c r="D864" s="32">
        <v>267.46600000000001</v>
      </c>
      <c r="E864" s="38">
        <v>812.32899999999995</v>
      </c>
      <c r="F864" s="32">
        <v>1274</v>
      </c>
      <c r="G864" s="32">
        <v>50</v>
      </c>
      <c r="H864" s="40">
        <v>600</v>
      </c>
      <c r="I864" s="32">
        <v>695</v>
      </c>
      <c r="J864" s="32">
        <v>0</v>
      </c>
      <c r="K864" s="33"/>
      <c r="L864" s="33"/>
      <c r="M864" s="33"/>
      <c r="N864" s="33"/>
      <c r="O864" s="33"/>
      <c r="P864" s="33"/>
      <c r="Q864" s="33"/>
      <c r="R864" s="33"/>
      <c r="S864" s="33"/>
      <c r="T864" s="33"/>
    </row>
    <row r="865" spans="1:20" ht="15.75">
      <c r="A865" s="13">
        <v>68210</v>
      </c>
      <c r="B865" s="41">
        <f t="shared" si="4"/>
        <v>30</v>
      </c>
      <c r="C865" s="32">
        <v>194.20500000000001</v>
      </c>
      <c r="D865" s="32">
        <v>267.46600000000001</v>
      </c>
      <c r="E865" s="38">
        <v>812.32899999999995</v>
      </c>
      <c r="F865" s="32">
        <v>1274</v>
      </c>
      <c r="G865" s="32">
        <v>50</v>
      </c>
      <c r="H865" s="40">
        <v>600</v>
      </c>
      <c r="I865" s="32">
        <v>695</v>
      </c>
      <c r="J865" s="32">
        <v>0</v>
      </c>
      <c r="K865" s="33"/>
      <c r="L865" s="33"/>
      <c r="M865" s="33"/>
      <c r="N865" s="33"/>
      <c r="O865" s="33"/>
      <c r="P865" s="33"/>
      <c r="Q865" s="33"/>
      <c r="R865" s="33"/>
      <c r="S865" s="33"/>
      <c r="T865" s="33"/>
    </row>
    <row r="866" spans="1:20" ht="15.75">
      <c r="A866" s="13">
        <v>68241</v>
      </c>
      <c r="B866" s="41">
        <f t="shared" si="4"/>
        <v>31</v>
      </c>
      <c r="C866" s="32">
        <v>131.881</v>
      </c>
      <c r="D866" s="32">
        <v>277.16699999999997</v>
      </c>
      <c r="E866" s="38">
        <v>829.952</v>
      </c>
      <c r="F866" s="32">
        <v>1239</v>
      </c>
      <c r="G866" s="32">
        <v>75</v>
      </c>
      <c r="H866" s="40">
        <v>600</v>
      </c>
      <c r="I866" s="32">
        <v>695</v>
      </c>
      <c r="J866" s="32">
        <v>0</v>
      </c>
      <c r="K866" s="33"/>
      <c r="L866" s="33"/>
      <c r="M866" s="33"/>
      <c r="N866" s="33"/>
      <c r="O866" s="33"/>
      <c r="P866" s="33"/>
      <c r="Q866" s="33"/>
      <c r="R866" s="33"/>
      <c r="S866" s="33"/>
      <c r="T866" s="33"/>
    </row>
    <row r="867" spans="1:20" ht="15.75">
      <c r="A867" s="13">
        <v>68271</v>
      </c>
      <c r="B867" s="41">
        <f t="shared" si="4"/>
        <v>30</v>
      </c>
      <c r="C867" s="32">
        <v>122.58</v>
      </c>
      <c r="D867" s="32">
        <v>297.94099999999997</v>
      </c>
      <c r="E867" s="38">
        <v>729.47900000000004</v>
      </c>
      <c r="F867" s="32">
        <v>1150</v>
      </c>
      <c r="G867" s="32">
        <v>100</v>
      </c>
      <c r="H867" s="40">
        <v>600</v>
      </c>
      <c r="I867" s="32">
        <v>695</v>
      </c>
      <c r="J867" s="32">
        <v>50</v>
      </c>
      <c r="K867" s="33"/>
      <c r="L867" s="33"/>
      <c r="M867" s="33"/>
      <c r="N867" s="33"/>
      <c r="O867" s="33"/>
      <c r="P867" s="33"/>
      <c r="Q867" s="33"/>
      <c r="R867" s="33"/>
      <c r="S867" s="33"/>
      <c r="T867" s="33"/>
    </row>
    <row r="868" spans="1:20" ht="15.75">
      <c r="A868" s="13">
        <v>68302</v>
      </c>
      <c r="B868" s="41">
        <f t="shared" si="4"/>
        <v>31</v>
      </c>
      <c r="C868" s="32">
        <v>122.58</v>
      </c>
      <c r="D868" s="32">
        <v>297.94099999999997</v>
      </c>
      <c r="E868" s="38">
        <v>729.47900000000004</v>
      </c>
      <c r="F868" s="32">
        <v>1150</v>
      </c>
      <c r="G868" s="32">
        <v>100</v>
      </c>
      <c r="H868" s="40">
        <v>600</v>
      </c>
      <c r="I868" s="32">
        <v>695</v>
      </c>
      <c r="J868" s="32">
        <v>50</v>
      </c>
      <c r="K868" s="33"/>
      <c r="L868" s="33"/>
      <c r="M868" s="33"/>
      <c r="N868" s="33"/>
      <c r="O868" s="33"/>
      <c r="P868" s="33"/>
      <c r="Q868" s="33"/>
      <c r="R868" s="33"/>
      <c r="S868" s="33"/>
      <c r="T868" s="33"/>
    </row>
    <row r="869" spans="1:20" ht="15.75">
      <c r="A869" s="13">
        <v>68333</v>
      </c>
      <c r="B869" s="41">
        <f t="shared" si="4"/>
        <v>31</v>
      </c>
      <c r="C869" s="32">
        <v>122.58</v>
      </c>
      <c r="D869" s="32">
        <v>297.94099999999997</v>
      </c>
      <c r="E869" s="38">
        <v>729.47900000000004</v>
      </c>
      <c r="F869" s="32">
        <v>1150</v>
      </c>
      <c r="G869" s="32">
        <v>100</v>
      </c>
      <c r="H869" s="40">
        <v>600</v>
      </c>
      <c r="I869" s="32">
        <v>695</v>
      </c>
      <c r="J869" s="32">
        <v>50</v>
      </c>
      <c r="K869" s="33"/>
      <c r="L869" s="33"/>
      <c r="M869" s="33"/>
      <c r="N869" s="33"/>
      <c r="O869" s="33"/>
      <c r="P869" s="33"/>
      <c r="Q869" s="33"/>
      <c r="R869" s="33"/>
      <c r="S869" s="33"/>
      <c r="T869" s="33"/>
    </row>
    <row r="870" spans="1:20" ht="15.75">
      <c r="A870" s="13">
        <v>68361</v>
      </c>
      <c r="B870" s="41">
        <f t="shared" si="4"/>
        <v>28</v>
      </c>
      <c r="C870" s="32">
        <v>122.58</v>
      </c>
      <c r="D870" s="32">
        <v>297.94099999999997</v>
      </c>
      <c r="E870" s="38">
        <v>729.47900000000004</v>
      </c>
      <c r="F870" s="32">
        <v>1150</v>
      </c>
      <c r="G870" s="32">
        <v>100</v>
      </c>
      <c r="H870" s="40">
        <v>600</v>
      </c>
      <c r="I870" s="32">
        <v>695</v>
      </c>
      <c r="J870" s="32">
        <v>50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</row>
    <row r="871" spans="1:20" ht="15.75">
      <c r="A871" s="13">
        <v>68392</v>
      </c>
      <c r="B871" s="41">
        <f t="shared" si="4"/>
        <v>31</v>
      </c>
      <c r="C871" s="32">
        <v>122.58</v>
      </c>
      <c r="D871" s="32">
        <v>297.94099999999997</v>
      </c>
      <c r="E871" s="38">
        <v>729.47900000000004</v>
      </c>
      <c r="F871" s="32">
        <v>1150</v>
      </c>
      <c r="G871" s="32">
        <v>100</v>
      </c>
      <c r="H871" s="40">
        <v>600</v>
      </c>
      <c r="I871" s="32">
        <v>695</v>
      </c>
      <c r="J871" s="32">
        <v>50</v>
      </c>
      <c r="K871" s="33"/>
      <c r="L871" s="33"/>
      <c r="M871" s="33"/>
      <c r="N871" s="33"/>
      <c r="O871" s="33"/>
      <c r="P871" s="33"/>
      <c r="Q871" s="33"/>
      <c r="R871" s="33"/>
      <c r="S871" s="33"/>
      <c r="T871" s="33"/>
    </row>
    <row r="872" spans="1:20" ht="15.75">
      <c r="A872" s="13">
        <v>68422</v>
      </c>
      <c r="B872" s="41">
        <f t="shared" si="4"/>
        <v>30</v>
      </c>
      <c r="C872" s="32">
        <v>141.29300000000001</v>
      </c>
      <c r="D872" s="32">
        <v>267.99299999999999</v>
      </c>
      <c r="E872" s="38">
        <v>829.71400000000006</v>
      </c>
      <c r="F872" s="32">
        <v>1239</v>
      </c>
      <c r="G872" s="32">
        <v>100</v>
      </c>
      <c r="H872" s="40">
        <v>600</v>
      </c>
      <c r="I872" s="32">
        <v>695</v>
      </c>
      <c r="J872" s="32">
        <v>50</v>
      </c>
      <c r="K872" s="33"/>
      <c r="L872" s="33"/>
      <c r="M872" s="33"/>
      <c r="N872" s="33"/>
      <c r="O872" s="33"/>
      <c r="P872" s="33"/>
      <c r="Q872" s="33"/>
      <c r="R872" s="33"/>
      <c r="S872" s="33"/>
      <c r="T872" s="33"/>
    </row>
    <row r="873" spans="1:20" ht="15.75">
      <c r="A873" s="13">
        <v>68453</v>
      </c>
      <c r="B873" s="41">
        <f t="shared" si="4"/>
        <v>31</v>
      </c>
      <c r="C873" s="32">
        <v>194.20500000000001</v>
      </c>
      <c r="D873" s="32">
        <v>267.46600000000001</v>
      </c>
      <c r="E873" s="38">
        <v>812.32899999999995</v>
      </c>
      <c r="F873" s="32">
        <v>1274</v>
      </c>
      <c r="G873" s="32">
        <v>75</v>
      </c>
      <c r="H873" s="40">
        <v>600</v>
      </c>
      <c r="I873" s="32">
        <v>695</v>
      </c>
      <c r="J873" s="32">
        <v>50</v>
      </c>
      <c r="K873" s="33"/>
      <c r="L873" s="33"/>
      <c r="M873" s="33"/>
      <c r="N873" s="33"/>
      <c r="O873" s="33"/>
      <c r="P873" s="33"/>
      <c r="Q873" s="33"/>
      <c r="R873" s="33"/>
      <c r="S873" s="33"/>
      <c r="T873" s="33"/>
    </row>
    <row r="874" spans="1:20" ht="15.75">
      <c r="A874" s="13">
        <v>68483</v>
      </c>
      <c r="B874" s="41">
        <f t="shared" si="4"/>
        <v>30</v>
      </c>
      <c r="C874" s="32">
        <v>194.20500000000001</v>
      </c>
      <c r="D874" s="32">
        <v>267.46600000000001</v>
      </c>
      <c r="E874" s="38">
        <v>812.32899999999995</v>
      </c>
      <c r="F874" s="32">
        <v>1274</v>
      </c>
      <c r="G874" s="32">
        <v>50</v>
      </c>
      <c r="H874" s="40">
        <v>600</v>
      </c>
      <c r="I874" s="32">
        <v>695</v>
      </c>
      <c r="J874" s="32">
        <v>50</v>
      </c>
      <c r="K874" s="33"/>
      <c r="L874" s="33"/>
      <c r="M874" s="33"/>
      <c r="N874" s="33"/>
      <c r="O874" s="33"/>
      <c r="P874" s="33"/>
      <c r="Q874" s="33"/>
      <c r="R874" s="33"/>
      <c r="S874" s="33"/>
      <c r="T874" s="33"/>
    </row>
    <row r="875" spans="1:20" ht="15.75">
      <c r="A875" s="13">
        <v>68514</v>
      </c>
      <c r="B875" s="41">
        <f t="shared" si="4"/>
        <v>31</v>
      </c>
      <c r="C875" s="32">
        <v>194.20500000000001</v>
      </c>
      <c r="D875" s="32">
        <v>267.46600000000001</v>
      </c>
      <c r="E875" s="38">
        <v>812.32899999999995</v>
      </c>
      <c r="F875" s="32">
        <v>1274</v>
      </c>
      <c r="G875" s="32">
        <v>50</v>
      </c>
      <c r="H875" s="40">
        <v>600</v>
      </c>
      <c r="I875" s="32">
        <v>695</v>
      </c>
      <c r="J875" s="32">
        <v>0</v>
      </c>
      <c r="K875" s="33"/>
      <c r="L875" s="33"/>
      <c r="M875" s="33"/>
      <c r="N875" s="33"/>
      <c r="O875" s="33"/>
      <c r="P875" s="33"/>
      <c r="Q875" s="33"/>
      <c r="R875" s="33"/>
      <c r="S875" s="33"/>
      <c r="T875" s="33"/>
    </row>
    <row r="876" spans="1:20" ht="15.75">
      <c r="A876" s="13">
        <v>68545</v>
      </c>
      <c r="B876" s="41">
        <f t="shared" si="4"/>
        <v>31</v>
      </c>
      <c r="C876" s="32">
        <v>194.20500000000001</v>
      </c>
      <c r="D876" s="32">
        <v>267.46600000000001</v>
      </c>
      <c r="E876" s="38">
        <v>812.32899999999995</v>
      </c>
      <c r="F876" s="32">
        <v>1274</v>
      </c>
      <c r="G876" s="32">
        <v>50</v>
      </c>
      <c r="H876" s="40">
        <v>600</v>
      </c>
      <c r="I876" s="32">
        <v>695</v>
      </c>
      <c r="J876" s="32">
        <v>0</v>
      </c>
      <c r="K876" s="33"/>
      <c r="L876" s="33"/>
      <c r="M876" s="33"/>
      <c r="N876" s="33"/>
      <c r="O876" s="33"/>
      <c r="P876" s="33"/>
      <c r="Q876" s="33"/>
      <c r="R876" s="33"/>
      <c r="S876" s="33"/>
      <c r="T876" s="33"/>
    </row>
    <row r="877" spans="1:20" ht="15.75">
      <c r="A877" s="13">
        <v>68575</v>
      </c>
      <c r="B877" s="41">
        <f t="shared" si="4"/>
        <v>30</v>
      </c>
      <c r="C877" s="32">
        <v>194.20500000000001</v>
      </c>
      <c r="D877" s="32">
        <v>267.46600000000001</v>
      </c>
      <c r="E877" s="38">
        <v>812.32899999999995</v>
      </c>
      <c r="F877" s="32">
        <v>1274</v>
      </c>
      <c r="G877" s="32">
        <v>50</v>
      </c>
      <c r="H877" s="40">
        <v>600</v>
      </c>
      <c r="I877" s="32">
        <v>695</v>
      </c>
      <c r="J877" s="32">
        <v>0</v>
      </c>
      <c r="K877" s="33"/>
      <c r="L877" s="33"/>
      <c r="M877" s="33"/>
      <c r="N877" s="33"/>
      <c r="O877" s="33"/>
      <c r="P877" s="33"/>
      <c r="Q877" s="33"/>
      <c r="R877" s="33"/>
      <c r="S877" s="33"/>
      <c r="T877" s="33"/>
    </row>
    <row r="878" spans="1:20" ht="15.75">
      <c r="A878" s="13">
        <v>68606</v>
      </c>
      <c r="B878" s="41">
        <f t="shared" si="4"/>
        <v>31</v>
      </c>
      <c r="C878" s="32">
        <v>131.881</v>
      </c>
      <c r="D878" s="32">
        <v>277.16699999999997</v>
      </c>
      <c r="E878" s="38">
        <v>829.952</v>
      </c>
      <c r="F878" s="32">
        <v>1239</v>
      </c>
      <c r="G878" s="32">
        <v>75</v>
      </c>
      <c r="H878" s="40">
        <v>600</v>
      </c>
      <c r="I878" s="32">
        <v>695</v>
      </c>
      <c r="J878" s="32">
        <v>0</v>
      </c>
      <c r="K878" s="33"/>
      <c r="L878" s="33"/>
      <c r="M878" s="33"/>
      <c r="N878" s="33"/>
      <c r="O878" s="33"/>
      <c r="P878" s="33"/>
      <c r="Q878" s="33"/>
      <c r="R878" s="33"/>
      <c r="S878" s="33"/>
      <c r="T878" s="33"/>
    </row>
    <row r="879" spans="1:20" ht="15.75">
      <c r="A879" s="13">
        <v>68636</v>
      </c>
      <c r="B879" s="41">
        <f t="shared" si="4"/>
        <v>30</v>
      </c>
      <c r="C879" s="32">
        <v>122.58</v>
      </c>
      <c r="D879" s="32">
        <v>297.94099999999997</v>
      </c>
      <c r="E879" s="38">
        <v>729.47900000000004</v>
      </c>
      <c r="F879" s="32">
        <v>1150</v>
      </c>
      <c r="G879" s="32">
        <v>100</v>
      </c>
      <c r="H879" s="40">
        <v>600</v>
      </c>
      <c r="I879" s="32">
        <v>695</v>
      </c>
      <c r="J879" s="32">
        <v>50</v>
      </c>
      <c r="K879" s="33"/>
      <c r="L879" s="33"/>
      <c r="M879" s="33"/>
      <c r="N879" s="33"/>
      <c r="O879" s="33"/>
      <c r="P879" s="33"/>
      <c r="Q879" s="33"/>
      <c r="R879" s="33"/>
      <c r="S879" s="33"/>
      <c r="T879" s="33"/>
    </row>
    <row r="880" spans="1:20" ht="15.75">
      <c r="A880" s="13">
        <v>68667</v>
      </c>
      <c r="B880" s="41">
        <f t="shared" si="4"/>
        <v>31</v>
      </c>
      <c r="C880" s="32">
        <v>122.58</v>
      </c>
      <c r="D880" s="32">
        <v>297.94099999999997</v>
      </c>
      <c r="E880" s="38">
        <v>729.47900000000004</v>
      </c>
      <c r="F880" s="32">
        <v>1150</v>
      </c>
      <c r="G880" s="32">
        <v>100</v>
      </c>
      <c r="H880" s="40">
        <v>600</v>
      </c>
      <c r="I880" s="32">
        <v>695</v>
      </c>
      <c r="J880" s="32">
        <v>50</v>
      </c>
      <c r="K880" s="33"/>
      <c r="L880" s="33"/>
      <c r="M880" s="33"/>
      <c r="N880" s="33"/>
      <c r="O880" s="33"/>
      <c r="P880" s="33"/>
      <c r="Q880" s="33"/>
      <c r="R880" s="33"/>
      <c r="S880" s="33"/>
      <c r="T880" s="33"/>
    </row>
    <row r="881" spans="1:20" ht="15.75">
      <c r="A881" s="13">
        <v>68698</v>
      </c>
      <c r="B881" s="41">
        <f t="shared" si="4"/>
        <v>31</v>
      </c>
      <c r="C881" s="32">
        <v>122.58</v>
      </c>
      <c r="D881" s="32">
        <v>297.94099999999997</v>
      </c>
      <c r="E881" s="38">
        <v>729.47900000000004</v>
      </c>
      <c r="F881" s="32">
        <v>1150</v>
      </c>
      <c r="G881" s="32">
        <v>100</v>
      </c>
      <c r="H881" s="40">
        <v>600</v>
      </c>
      <c r="I881" s="32">
        <v>695</v>
      </c>
      <c r="J881" s="32">
        <v>50</v>
      </c>
      <c r="K881" s="33"/>
      <c r="L881" s="33"/>
      <c r="M881" s="33"/>
      <c r="N881" s="33"/>
      <c r="O881" s="33"/>
      <c r="P881" s="33"/>
      <c r="Q881" s="33"/>
      <c r="R881" s="33"/>
      <c r="S881" s="33"/>
      <c r="T881" s="33"/>
    </row>
    <row r="882" spans="1:20" ht="15.75">
      <c r="A882" s="13">
        <v>68727</v>
      </c>
      <c r="B882" s="41">
        <f t="shared" si="4"/>
        <v>29</v>
      </c>
      <c r="C882" s="32">
        <v>122.58</v>
      </c>
      <c r="D882" s="32">
        <v>297.94099999999997</v>
      </c>
      <c r="E882" s="38">
        <v>729.47900000000004</v>
      </c>
      <c r="F882" s="32">
        <v>1150</v>
      </c>
      <c r="G882" s="32">
        <v>100</v>
      </c>
      <c r="H882" s="40">
        <v>600</v>
      </c>
      <c r="I882" s="32">
        <v>695</v>
      </c>
      <c r="J882" s="32">
        <v>50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</row>
    <row r="883" spans="1:20" ht="15.75">
      <c r="A883" s="13">
        <v>68758</v>
      </c>
      <c r="B883" s="41">
        <f t="shared" si="4"/>
        <v>31</v>
      </c>
      <c r="C883" s="32">
        <v>122.58</v>
      </c>
      <c r="D883" s="32">
        <v>297.94099999999997</v>
      </c>
      <c r="E883" s="38">
        <v>729.47900000000004</v>
      </c>
      <c r="F883" s="32">
        <v>1150</v>
      </c>
      <c r="G883" s="32">
        <v>100</v>
      </c>
      <c r="H883" s="40">
        <v>600</v>
      </c>
      <c r="I883" s="32">
        <v>695</v>
      </c>
      <c r="J883" s="32">
        <v>50</v>
      </c>
      <c r="K883" s="33"/>
      <c r="L883" s="33"/>
      <c r="M883" s="33"/>
      <c r="N883" s="33"/>
      <c r="O883" s="33"/>
      <c r="P883" s="33"/>
      <c r="Q883" s="33"/>
      <c r="R883" s="33"/>
      <c r="S883" s="33"/>
      <c r="T883" s="33"/>
    </row>
    <row r="884" spans="1:20" ht="15.75">
      <c r="A884" s="13">
        <v>68788</v>
      </c>
      <c r="B884" s="41">
        <f t="shared" si="4"/>
        <v>30</v>
      </c>
      <c r="C884" s="32">
        <v>141.29300000000001</v>
      </c>
      <c r="D884" s="32">
        <v>267.99299999999999</v>
      </c>
      <c r="E884" s="38">
        <v>829.71400000000006</v>
      </c>
      <c r="F884" s="32">
        <v>1239</v>
      </c>
      <c r="G884" s="32">
        <v>100</v>
      </c>
      <c r="H884" s="40">
        <v>600</v>
      </c>
      <c r="I884" s="32">
        <v>695</v>
      </c>
      <c r="J884" s="32">
        <v>50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</row>
    <row r="885" spans="1:20" ht="15.75">
      <c r="A885" s="13">
        <v>68819</v>
      </c>
      <c r="B885" s="41">
        <f t="shared" si="4"/>
        <v>31</v>
      </c>
      <c r="C885" s="32">
        <v>194.20500000000001</v>
      </c>
      <c r="D885" s="32">
        <v>267.46600000000001</v>
      </c>
      <c r="E885" s="38">
        <v>812.32899999999995</v>
      </c>
      <c r="F885" s="32">
        <v>1274</v>
      </c>
      <c r="G885" s="32">
        <v>75</v>
      </c>
      <c r="H885" s="40">
        <v>600</v>
      </c>
      <c r="I885" s="32">
        <v>695</v>
      </c>
      <c r="J885" s="32">
        <v>50</v>
      </c>
      <c r="K885" s="33"/>
      <c r="L885" s="33"/>
      <c r="M885" s="33"/>
      <c r="N885" s="33"/>
      <c r="O885" s="33"/>
      <c r="P885" s="33"/>
      <c r="Q885" s="33"/>
      <c r="R885" s="33"/>
      <c r="S885" s="33"/>
      <c r="T885" s="33"/>
    </row>
    <row r="886" spans="1:20" ht="15.75">
      <c r="A886" s="13">
        <v>68849</v>
      </c>
      <c r="B886" s="41">
        <f t="shared" si="4"/>
        <v>30</v>
      </c>
      <c r="C886" s="32">
        <v>194.20500000000001</v>
      </c>
      <c r="D886" s="32">
        <v>267.46600000000001</v>
      </c>
      <c r="E886" s="38">
        <v>812.32899999999995</v>
      </c>
      <c r="F886" s="32">
        <v>1274</v>
      </c>
      <c r="G886" s="32">
        <v>50</v>
      </c>
      <c r="H886" s="40">
        <v>600</v>
      </c>
      <c r="I886" s="32">
        <v>695</v>
      </c>
      <c r="J886" s="32">
        <v>50</v>
      </c>
      <c r="K886" s="33"/>
      <c r="L886" s="33"/>
      <c r="M886" s="33"/>
      <c r="N886" s="33"/>
      <c r="O886" s="33"/>
      <c r="P886" s="33"/>
      <c r="Q886" s="33"/>
      <c r="R886" s="33"/>
      <c r="S886" s="33"/>
      <c r="T886" s="33"/>
    </row>
    <row r="887" spans="1:20" ht="15.75">
      <c r="A887" s="13">
        <v>68880</v>
      </c>
      <c r="B887" s="41">
        <f t="shared" si="4"/>
        <v>31</v>
      </c>
      <c r="C887" s="32">
        <v>194.20500000000001</v>
      </c>
      <c r="D887" s="32">
        <v>267.46600000000001</v>
      </c>
      <c r="E887" s="38">
        <v>812.32899999999995</v>
      </c>
      <c r="F887" s="32">
        <v>1274</v>
      </c>
      <c r="G887" s="32">
        <v>50</v>
      </c>
      <c r="H887" s="40">
        <v>600</v>
      </c>
      <c r="I887" s="32">
        <v>695</v>
      </c>
      <c r="J887" s="32">
        <v>0</v>
      </c>
      <c r="K887" s="33"/>
      <c r="L887" s="33"/>
      <c r="M887" s="33"/>
      <c r="N887" s="33"/>
      <c r="O887" s="33"/>
      <c r="P887" s="33"/>
      <c r="Q887" s="33"/>
      <c r="R887" s="33"/>
      <c r="S887" s="33"/>
      <c r="T887" s="33"/>
    </row>
    <row r="888" spans="1:20" ht="15.75">
      <c r="A888" s="13">
        <v>68911</v>
      </c>
      <c r="B888" s="41">
        <f t="shared" si="4"/>
        <v>31</v>
      </c>
      <c r="C888" s="32">
        <v>194.20500000000001</v>
      </c>
      <c r="D888" s="32">
        <v>267.46600000000001</v>
      </c>
      <c r="E888" s="38">
        <v>812.32899999999995</v>
      </c>
      <c r="F888" s="32">
        <v>1274</v>
      </c>
      <c r="G888" s="32">
        <v>50</v>
      </c>
      <c r="H888" s="40">
        <v>600</v>
      </c>
      <c r="I888" s="32">
        <v>695</v>
      </c>
      <c r="J888" s="32">
        <v>0</v>
      </c>
      <c r="K888" s="33"/>
      <c r="L888" s="33"/>
      <c r="M888" s="33"/>
      <c r="N888" s="33"/>
      <c r="O888" s="33"/>
      <c r="P888" s="33"/>
      <c r="Q888" s="33"/>
      <c r="R888" s="33"/>
      <c r="S888" s="33"/>
      <c r="T888" s="33"/>
    </row>
    <row r="889" spans="1:20" ht="15.75">
      <c r="A889" s="13">
        <v>68941</v>
      </c>
      <c r="B889" s="41">
        <f t="shared" ref="B889:B952" si="5">EOMONTH(A889,0)-EOMONTH(A889,-1)</f>
        <v>30</v>
      </c>
      <c r="C889" s="32">
        <v>194.20500000000001</v>
      </c>
      <c r="D889" s="32">
        <v>267.46600000000001</v>
      </c>
      <c r="E889" s="38">
        <v>812.32899999999995</v>
      </c>
      <c r="F889" s="32">
        <v>1274</v>
      </c>
      <c r="G889" s="32">
        <v>50</v>
      </c>
      <c r="H889" s="40">
        <v>600</v>
      </c>
      <c r="I889" s="32">
        <v>695</v>
      </c>
      <c r="J889" s="32">
        <v>0</v>
      </c>
      <c r="K889" s="33"/>
      <c r="L889" s="33"/>
      <c r="M889" s="33"/>
      <c r="N889" s="33"/>
      <c r="O889" s="33"/>
      <c r="P889" s="33"/>
      <c r="Q889" s="33"/>
      <c r="R889" s="33"/>
      <c r="S889" s="33"/>
      <c r="T889" s="33"/>
    </row>
    <row r="890" spans="1:20" ht="15.75">
      <c r="A890" s="13">
        <v>68972</v>
      </c>
      <c r="B890" s="41">
        <f t="shared" si="5"/>
        <v>31</v>
      </c>
      <c r="C890" s="32">
        <v>131.881</v>
      </c>
      <c r="D890" s="32">
        <v>277.16699999999997</v>
      </c>
      <c r="E890" s="38">
        <v>829.952</v>
      </c>
      <c r="F890" s="32">
        <v>1239</v>
      </c>
      <c r="G890" s="32">
        <v>75</v>
      </c>
      <c r="H890" s="40">
        <v>600</v>
      </c>
      <c r="I890" s="32">
        <v>695</v>
      </c>
      <c r="J890" s="32">
        <v>0</v>
      </c>
      <c r="K890" s="33"/>
      <c r="L890" s="33"/>
      <c r="M890" s="33"/>
      <c r="N890" s="33"/>
      <c r="O890" s="33"/>
      <c r="P890" s="33"/>
      <c r="Q890" s="33"/>
      <c r="R890" s="33"/>
      <c r="S890" s="33"/>
      <c r="T890" s="33"/>
    </row>
    <row r="891" spans="1:20" ht="15.75">
      <c r="A891" s="13">
        <v>69002</v>
      </c>
      <c r="B891" s="41">
        <f t="shared" si="5"/>
        <v>30</v>
      </c>
      <c r="C891" s="32">
        <v>122.58</v>
      </c>
      <c r="D891" s="32">
        <v>297.94099999999997</v>
      </c>
      <c r="E891" s="38">
        <v>729.47900000000004</v>
      </c>
      <c r="F891" s="32">
        <v>1150</v>
      </c>
      <c r="G891" s="32">
        <v>100</v>
      </c>
      <c r="H891" s="40">
        <v>600</v>
      </c>
      <c r="I891" s="32">
        <v>695</v>
      </c>
      <c r="J891" s="32">
        <v>50</v>
      </c>
      <c r="K891" s="33"/>
      <c r="L891" s="33"/>
      <c r="M891" s="33"/>
      <c r="N891" s="33"/>
      <c r="O891" s="33"/>
      <c r="P891" s="33"/>
      <c r="Q891" s="33"/>
      <c r="R891" s="33"/>
      <c r="S891" s="33"/>
      <c r="T891" s="33"/>
    </row>
    <row r="892" spans="1:20" ht="15.75">
      <c r="A892" s="13">
        <v>69033</v>
      </c>
      <c r="B892" s="41">
        <f t="shared" si="5"/>
        <v>31</v>
      </c>
      <c r="C892" s="32">
        <v>122.58</v>
      </c>
      <c r="D892" s="32">
        <v>297.94099999999997</v>
      </c>
      <c r="E892" s="38">
        <v>729.47900000000004</v>
      </c>
      <c r="F892" s="32">
        <v>1150</v>
      </c>
      <c r="G892" s="32">
        <v>100</v>
      </c>
      <c r="H892" s="40">
        <v>600</v>
      </c>
      <c r="I892" s="32">
        <v>695</v>
      </c>
      <c r="J892" s="32">
        <v>50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</row>
    <row r="893" spans="1:20" ht="15.75">
      <c r="A893" s="13">
        <v>69064</v>
      </c>
      <c r="B893" s="41">
        <f t="shared" si="5"/>
        <v>31</v>
      </c>
      <c r="C893" s="32">
        <v>122.58</v>
      </c>
      <c r="D893" s="32">
        <v>297.94099999999997</v>
      </c>
      <c r="E893" s="38">
        <v>729.47900000000004</v>
      </c>
      <c r="F893" s="32">
        <v>1150</v>
      </c>
      <c r="G893" s="32">
        <v>100</v>
      </c>
      <c r="H893" s="40">
        <v>600</v>
      </c>
      <c r="I893" s="32">
        <v>695</v>
      </c>
      <c r="J893" s="32">
        <v>50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</row>
    <row r="894" spans="1:20" ht="15.75">
      <c r="A894" s="13">
        <v>69092</v>
      </c>
      <c r="B894" s="41">
        <f t="shared" si="5"/>
        <v>28</v>
      </c>
      <c r="C894" s="32">
        <v>122.58</v>
      </c>
      <c r="D894" s="32">
        <v>297.94099999999997</v>
      </c>
      <c r="E894" s="38">
        <v>729.47900000000004</v>
      </c>
      <c r="F894" s="32">
        <v>1150</v>
      </c>
      <c r="G894" s="32">
        <v>100</v>
      </c>
      <c r="H894" s="40">
        <v>600</v>
      </c>
      <c r="I894" s="32">
        <v>695</v>
      </c>
      <c r="J894" s="32">
        <v>50</v>
      </c>
      <c r="K894" s="33"/>
      <c r="L894" s="33"/>
      <c r="M894" s="33"/>
      <c r="N894" s="33"/>
      <c r="O894" s="33"/>
      <c r="P894" s="33"/>
      <c r="Q894" s="33"/>
      <c r="R894" s="33"/>
      <c r="S894" s="33"/>
      <c r="T894" s="33"/>
    </row>
    <row r="895" spans="1:20" ht="15.75">
      <c r="A895" s="13">
        <v>69123</v>
      </c>
      <c r="B895" s="41">
        <f t="shared" si="5"/>
        <v>31</v>
      </c>
      <c r="C895" s="32">
        <v>122.58</v>
      </c>
      <c r="D895" s="32">
        <v>297.94099999999997</v>
      </c>
      <c r="E895" s="38">
        <v>729.47900000000004</v>
      </c>
      <c r="F895" s="32">
        <v>1150</v>
      </c>
      <c r="G895" s="32">
        <v>100</v>
      </c>
      <c r="H895" s="40">
        <v>600</v>
      </c>
      <c r="I895" s="32">
        <v>695</v>
      </c>
      <c r="J895" s="32">
        <v>50</v>
      </c>
      <c r="K895" s="33"/>
      <c r="L895" s="33"/>
      <c r="M895" s="33"/>
      <c r="N895" s="33"/>
      <c r="O895" s="33"/>
      <c r="P895" s="33"/>
      <c r="Q895" s="33"/>
      <c r="R895" s="33"/>
      <c r="S895" s="33"/>
      <c r="T895" s="33"/>
    </row>
    <row r="896" spans="1:20" ht="15.75">
      <c r="A896" s="13">
        <v>69153</v>
      </c>
      <c r="B896" s="41">
        <f t="shared" si="5"/>
        <v>30</v>
      </c>
      <c r="C896" s="32">
        <v>141.29300000000001</v>
      </c>
      <c r="D896" s="32">
        <v>267.99299999999999</v>
      </c>
      <c r="E896" s="38">
        <v>829.71400000000006</v>
      </c>
      <c r="F896" s="32">
        <v>1239</v>
      </c>
      <c r="G896" s="32">
        <v>100</v>
      </c>
      <c r="H896" s="40">
        <v>600</v>
      </c>
      <c r="I896" s="32">
        <v>695</v>
      </c>
      <c r="J896" s="32">
        <v>50</v>
      </c>
      <c r="K896" s="33"/>
      <c r="L896" s="33"/>
      <c r="M896" s="33"/>
      <c r="N896" s="33"/>
      <c r="O896" s="33"/>
      <c r="P896" s="33"/>
      <c r="Q896" s="33"/>
      <c r="R896" s="33"/>
      <c r="S896" s="33"/>
      <c r="T896" s="33"/>
    </row>
    <row r="897" spans="1:20" ht="15.75">
      <c r="A897" s="13">
        <v>69184</v>
      </c>
      <c r="B897" s="41">
        <f t="shared" si="5"/>
        <v>31</v>
      </c>
      <c r="C897" s="32">
        <v>194.20500000000001</v>
      </c>
      <c r="D897" s="32">
        <v>267.46600000000001</v>
      </c>
      <c r="E897" s="38">
        <v>812.32899999999995</v>
      </c>
      <c r="F897" s="32">
        <v>1274</v>
      </c>
      <c r="G897" s="32">
        <v>75</v>
      </c>
      <c r="H897" s="40">
        <v>600</v>
      </c>
      <c r="I897" s="32">
        <v>695</v>
      </c>
      <c r="J897" s="32">
        <v>50</v>
      </c>
      <c r="K897" s="33"/>
      <c r="L897" s="33"/>
      <c r="M897" s="33"/>
      <c r="N897" s="33"/>
      <c r="O897" s="33"/>
      <c r="P897" s="33"/>
      <c r="Q897" s="33"/>
      <c r="R897" s="33"/>
      <c r="S897" s="33"/>
      <c r="T897" s="33"/>
    </row>
    <row r="898" spans="1:20" ht="15.75">
      <c r="A898" s="13">
        <v>69214</v>
      </c>
      <c r="B898" s="41">
        <f t="shared" si="5"/>
        <v>30</v>
      </c>
      <c r="C898" s="32">
        <v>194.20500000000001</v>
      </c>
      <c r="D898" s="32">
        <v>267.46600000000001</v>
      </c>
      <c r="E898" s="38">
        <v>812.32899999999995</v>
      </c>
      <c r="F898" s="32">
        <v>1274</v>
      </c>
      <c r="G898" s="32">
        <v>50</v>
      </c>
      <c r="H898" s="40">
        <v>600</v>
      </c>
      <c r="I898" s="32">
        <v>695</v>
      </c>
      <c r="J898" s="32">
        <v>50</v>
      </c>
      <c r="K898" s="33"/>
      <c r="L898" s="33"/>
      <c r="M898" s="33"/>
      <c r="N898" s="33"/>
      <c r="O898" s="33"/>
      <c r="P898" s="33"/>
      <c r="Q898" s="33"/>
      <c r="R898" s="33"/>
      <c r="S898" s="33"/>
      <c r="T898" s="33"/>
    </row>
    <row r="899" spans="1:20" ht="15.75">
      <c r="A899" s="13">
        <v>69245</v>
      </c>
      <c r="B899" s="41">
        <f t="shared" si="5"/>
        <v>31</v>
      </c>
      <c r="C899" s="32">
        <v>194.20500000000001</v>
      </c>
      <c r="D899" s="32">
        <v>267.46600000000001</v>
      </c>
      <c r="E899" s="38">
        <v>812.32899999999995</v>
      </c>
      <c r="F899" s="32">
        <v>1274</v>
      </c>
      <c r="G899" s="32">
        <v>50</v>
      </c>
      <c r="H899" s="40">
        <v>600</v>
      </c>
      <c r="I899" s="32">
        <v>695</v>
      </c>
      <c r="J899" s="32">
        <v>0</v>
      </c>
      <c r="K899" s="33"/>
      <c r="L899" s="33"/>
      <c r="M899" s="33"/>
      <c r="N899" s="33"/>
      <c r="O899" s="33"/>
      <c r="P899" s="33"/>
      <c r="Q899" s="33"/>
      <c r="R899" s="33"/>
      <c r="S899" s="33"/>
      <c r="T899" s="33"/>
    </row>
    <row r="900" spans="1:20" ht="15.75">
      <c r="A900" s="13">
        <v>69276</v>
      </c>
      <c r="B900" s="41">
        <f t="shared" si="5"/>
        <v>31</v>
      </c>
      <c r="C900" s="32">
        <v>194.20500000000001</v>
      </c>
      <c r="D900" s="32">
        <v>267.46600000000001</v>
      </c>
      <c r="E900" s="38">
        <v>812.32899999999995</v>
      </c>
      <c r="F900" s="32">
        <v>1274</v>
      </c>
      <c r="G900" s="32">
        <v>50</v>
      </c>
      <c r="H900" s="40">
        <v>600</v>
      </c>
      <c r="I900" s="32">
        <v>695</v>
      </c>
      <c r="J900" s="32">
        <v>0</v>
      </c>
      <c r="K900" s="33"/>
      <c r="L900" s="33"/>
      <c r="M900" s="33"/>
      <c r="N900" s="33"/>
      <c r="O900" s="33"/>
      <c r="P900" s="33"/>
      <c r="Q900" s="33"/>
      <c r="R900" s="33"/>
      <c r="S900" s="33"/>
      <c r="T900" s="33"/>
    </row>
    <row r="901" spans="1:20" ht="15.75">
      <c r="A901" s="13">
        <v>69306</v>
      </c>
      <c r="B901" s="41">
        <f t="shared" si="5"/>
        <v>30</v>
      </c>
      <c r="C901" s="32">
        <v>194.20500000000001</v>
      </c>
      <c r="D901" s="32">
        <v>267.46600000000001</v>
      </c>
      <c r="E901" s="38">
        <v>812.32899999999995</v>
      </c>
      <c r="F901" s="32">
        <v>1274</v>
      </c>
      <c r="G901" s="32">
        <v>50</v>
      </c>
      <c r="H901" s="40">
        <v>600</v>
      </c>
      <c r="I901" s="32">
        <v>695</v>
      </c>
      <c r="J901" s="32">
        <v>0</v>
      </c>
      <c r="K901" s="33"/>
      <c r="L901" s="33"/>
      <c r="M901" s="33"/>
      <c r="N901" s="33"/>
      <c r="O901" s="33"/>
      <c r="P901" s="33"/>
      <c r="Q901" s="33"/>
      <c r="R901" s="33"/>
      <c r="S901" s="33"/>
      <c r="T901" s="33"/>
    </row>
    <row r="902" spans="1:20" ht="15.75">
      <c r="A902" s="13">
        <v>69337</v>
      </c>
      <c r="B902" s="41">
        <f t="shared" si="5"/>
        <v>31</v>
      </c>
      <c r="C902" s="32">
        <v>131.881</v>
      </c>
      <c r="D902" s="32">
        <v>277.16699999999997</v>
      </c>
      <c r="E902" s="38">
        <v>829.952</v>
      </c>
      <c r="F902" s="32">
        <v>1239</v>
      </c>
      <c r="G902" s="32">
        <v>75</v>
      </c>
      <c r="H902" s="40">
        <v>600</v>
      </c>
      <c r="I902" s="32">
        <v>695</v>
      </c>
      <c r="J902" s="32">
        <v>0</v>
      </c>
      <c r="K902" s="33"/>
      <c r="L902" s="33"/>
      <c r="M902" s="33"/>
      <c r="N902" s="33"/>
      <c r="O902" s="33"/>
      <c r="P902" s="33"/>
      <c r="Q902" s="33"/>
      <c r="R902" s="33"/>
      <c r="S902" s="33"/>
      <c r="T902" s="33"/>
    </row>
    <row r="903" spans="1:20" ht="15.75">
      <c r="A903" s="13">
        <v>69367</v>
      </c>
      <c r="B903" s="41">
        <f t="shared" si="5"/>
        <v>30</v>
      </c>
      <c r="C903" s="32">
        <v>122.58</v>
      </c>
      <c r="D903" s="32">
        <v>297.94099999999997</v>
      </c>
      <c r="E903" s="38">
        <v>729.47900000000004</v>
      </c>
      <c r="F903" s="32">
        <v>1150</v>
      </c>
      <c r="G903" s="32">
        <v>100</v>
      </c>
      <c r="H903" s="40">
        <v>600</v>
      </c>
      <c r="I903" s="32">
        <v>695</v>
      </c>
      <c r="J903" s="32">
        <v>50</v>
      </c>
      <c r="K903" s="33"/>
      <c r="L903" s="33"/>
      <c r="M903" s="33"/>
      <c r="N903" s="33"/>
      <c r="O903" s="33"/>
      <c r="P903" s="33"/>
      <c r="Q903" s="33"/>
      <c r="R903" s="33"/>
      <c r="S903" s="33"/>
      <c r="T903" s="33"/>
    </row>
    <row r="904" spans="1:20" ht="15.75">
      <c r="A904" s="13">
        <v>69398</v>
      </c>
      <c r="B904" s="41">
        <f t="shared" si="5"/>
        <v>31</v>
      </c>
      <c r="C904" s="32">
        <v>122.58</v>
      </c>
      <c r="D904" s="32">
        <v>297.94099999999997</v>
      </c>
      <c r="E904" s="38">
        <v>729.47900000000004</v>
      </c>
      <c r="F904" s="32">
        <v>1150</v>
      </c>
      <c r="G904" s="32">
        <v>100</v>
      </c>
      <c r="H904" s="40">
        <v>600</v>
      </c>
      <c r="I904" s="32">
        <v>695</v>
      </c>
      <c r="J904" s="32">
        <v>50</v>
      </c>
      <c r="K904" s="33"/>
      <c r="L904" s="33"/>
      <c r="M904" s="33"/>
      <c r="N904" s="33"/>
      <c r="O904" s="33"/>
      <c r="P904" s="33"/>
      <c r="Q904" s="33"/>
      <c r="R904" s="33"/>
      <c r="S904" s="33"/>
      <c r="T904" s="33"/>
    </row>
    <row r="905" spans="1:20" ht="15.75">
      <c r="A905" s="13">
        <v>69429</v>
      </c>
      <c r="B905" s="41">
        <f t="shared" si="5"/>
        <v>31</v>
      </c>
      <c r="C905" s="32">
        <v>122.58</v>
      </c>
      <c r="D905" s="32">
        <v>297.94099999999997</v>
      </c>
      <c r="E905" s="38">
        <v>729.47900000000004</v>
      </c>
      <c r="F905" s="32">
        <v>1150</v>
      </c>
      <c r="G905" s="32">
        <v>100</v>
      </c>
      <c r="H905" s="40">
        <v>600</v>
      </c>
      <c r="I905" s="32">
        <v>695</v>
      </c>
      <c r="J905" s="32">
        <v>50</v>
      </c>
      <c r="K905" s="33"/>
      <c r="L905" s="33"/>
      <c r="M905" s="33"/>
      <c r="N905" s="33"/>
      <c r="O905" s="33"/>
      <c r="P905" s="33"/>
      <c r="Q905" s="33"/>
      <c r="R905" s="33"/>
      <c r="S905" s="33"/>
      <c r="T905" s="33"/>
    </row>
    <row r="906" spans="1:20" ht="15.75">
      <c r="A906" s="13">
        <v>69457</v>
      </c>
      <c r="B906" s="41">
        <f t="shared" si="5"/>
        <v>28</v>
      </c>
      <c r="C906" s="32">
        <v>122.58</v>
      </c>
      <c r="D906" s="32">
        <v>297.94099999999997</v>
      </c>
      <c r="E906" s="38">
        <v>729.47900000000004</v>
      </c>
      <c r="F906" s="32">
        <v>1150</v>
      </c>
      <c r="G906" s="32">
        <v>100</v>
      </c>
      <c r="H906" s="40">
        <v>600</v>
      </c>
      <c r="I906" s="32">
        <v>695</v>
      </c>
      <c r="J906" s="32">
        <v>50</v>
      </c>
      <c r="K906" s="33"/>
      <c r="L906" s="33"/>
      <c r="M906" s="33"/>
      <c r="N906" s="33"/>
      <c r="O906" s="33"/>
      <c r="P906" s="33"/>
      <c r="Q906" s="33"/>
      <c r="R906" s="33"/>
      <c r="S906" s="33"/>
      <c r="T906" s="33"/>
    </row>
    <row r="907" spans="1:20" ht="15.75">
      <c r="A907" s="13">
        <v>69488</v>
      </c>
      <c r="B907" s="41">
        <f t="shared" si="5"/>
        <v>31</v>
      </c>
      <c r="C907" s="32">
        <v>122.58</v>
      </c>
      <c r="D907" s="32">
        <v>297.94099999999997</v>
      </c>
      <c r="E907" s="38">
        <v>729.47900000000004</v>
      </c>
      <c r="F907" s="32">
        <v>1150</v>
      </c>
      <c r="G907" s="32">
        <v>100</v>
      </c>
      <c r="H907" s="40">
        <v>600</v>
      </c>
      <c r="I907" s="32">
        <v>695</v>
      </c>
      <c r="J907" s="32">
        <v>50</v>
      </c>
      <c r="K907" s="33"/>
      <c r="L907" s="33"/>
      <c r="M907" s="33"/>
      <c r="N907" s="33"/>
      <c r="O907" s="33"/>
      <c r="P907" s="33"/>
      <c r="Q907" s="33"/>
      <c r="R907" s="33"/>
      <c r="S907" s="33"/>
      <c r="T907" s="33"/>
    </row>
    <row r="908" spans="1:20" ht="15.75">
      <c r="A908" s="13">
        <v>69518</v>
      </c>
      <c r="B908" s="41">
        <f t="shared" si="5"/>
        <v>30</v>
      </c>
      <c r="C908" s="32">
        <v>141.29300000000001</v>
      </c>
      <c r="D908" s="32">
        <v>267.99299999999999</v>
      </c>
      <c r="E908" s="38">
        <v>829.71400000000006</v>
      </c>
      <c r="F908" s="32">
        <v>1239</v>
      </c>
      <c r="G908" s="32">
        <v>100</v>
      </c>
      <c r="H908" s="40">
        <v>600</v>
      </c>
      <c r="I908" s="32">
        <v>695</v>
      </c>
      <c r="J908" s="32">
        <v>50</v>
      </c>
      <c r="K908" s="33"/>
      <c r="L908" s="33"/>
      <c r="M908" s="33"/>
      <c r="N908" s="33"/>
      <c r="O908" s="33"/>
      <c r="P908" s="33"/>
      <c r="Q908" s="33"/>
      <c r="R908" s="33"/>
      <c r="S908" s="33"/>
      <c r="T908" s="33"/>
    </row>
    <row r="909" spans="1:20" ht="15.75">
      <c r="A909" s="13">
        <v>69549</v>
      </c>
      <c r="B909" s="41">
        <f t="shared" si="5"/>
        <v>31</v>
      </c>
      <c r="C909" s="32">
        <v>194.20500000000001</v>
      </c>
      <c r="D909" s="32">
        <v>267.46600000000001</v>
      </c>
      <c r="E909" s="38">
        <v>812.32899999999995</v>
      </c>
      <c r="F909" s="32">
        <v>1274</v>
      </c>
      <c r="G909" s="32">
        <v>75</v>
      </c>
      <c r="H909" s="40">
        <v>600</v>
      </c>
      <c r="I909" s="32">
        <v>695</v>
      </c>
      <c r="J909" s="32">
        <v>50</v>
      </c>
      <c r="K909" s="33"/>
      <c r="L909" s="33"/>
      <c r="M909" s="33"/>
      <c r="N909" s="33"/>
      <c r="O909" s="33"/>
      <c r="P909" s="33"/>
      <c r="Q909" s="33"/>
      <c r="R909" s="33"/>
      <c r="S909" s="33"/>
      <c r="T909" s="33"/>
    </row>
    <row r="910" spans="1:20" ht="15.75">
      <c r="A910" s="13">
        <v>69579</v>
      </c>
      <c r="B910" s="41">
        <f t="shared" si="5"/>
        <v>30</v>
      </c>
      <c r="C910" s="32">
        <v>194.20500000000001</v>
      </c>
      <c r="D910" s="32">
        <v>267.46600000000001</v>
      </c>
      <c r="E910" s="38">
        <v>812.32899999999995</v>
      </c>
      <c r="F910" s="32">
        <v>1274</v>
      </c>
      <c r="G910" s="32">
        <v>50</v>
      </c>
      <c r="H910" s="40">
        <v>600</v>
      </c>
      <c r="I910" s="32">
        <v>695</v>
      </c>
      <c r="J910" s="32">
        <v>50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</row>
    <row r="911" spans="1:20" ht="15.75">
      <c r="A911" s="13">
        <v>69610</v>
      </c>
      <c r="B911" s="41">
        <f t="shared" si="5"/>
        <v>31</v>
      </c>
      <c r="C911" s="32">
        <v>194.20500000000001</v>
      </c>
      <c r="D911" s="32">
        <v>267.46600000000001</v>
      </c>
      <c r="E911" s="38">
        <v>812.32899999999995</v>
      </c>
      <c r="F911" s="32">
        <v>1274</v>
      </c>
      <c r="G911" s="32">
        <v>50</v>
      </c>
      <c r="H911" s="40">
        <v>600</v>
      </c>
      <c r="I911" s="32">
        <v>695</v>
      </c>
      <c r="J911" s="32">
        <v>0</v>
      </c>
      <c r="K911" s="33"/>
      <c r="L911" s="33"/>
      <c r="M911" s="33"/>
      <c r="N911" s="33"/>
      <c r="O911" s="33"/>
      <c r="P911" s="33"/>
      <c r="Q911" s="33"/>
      <c r="R911" s="33"/>
      <c r="S911" s="33"/>
      <c r="T911" s="33"/>
    </row>
    <row r="912" spans="1:20" ht="15.75">
      <c r="A912" s="13">
        <v>69641</v>
      </c>
      <c r="B912" s="41">
        <f t="shared" si="5"/>
        <v>31</v>
      </c>
      <c r="C912" s="32">
        <v>194.20500000000001</v>
      </c>
      <c r="D912" s="32">
        <v>267.46600000000001</v>
      </c>
      <c r="E912" s="38">
        <v>812.32899999999995</v>
      </c>
      <c r="F912" s="32">
        <v>1274</v>
      </c>
      <c r="G912" s="32">
        <v>50</v>
      </c>
      <c r="H912" s="40">
        <v>600</v>
      </c>
      <c r="I912" s="32">
        <v>695</v>
      </c>
      <c r="J912" s="32">
        <v>0</v>
      </c>
      <c r="K912" s="33"/>
      <c r="L912" s="33"/>
      <c r="M912" s="33"/>
      <c r="N912" s="33"/>
      <c r="O912" s="33"/>
      <c r="P912" s="33"/>
      <c r="Q912" s="33"/>
      <c r="R912" s="33"/>
      <c r="S912" s="33"/>
      <c r="T912" s="33"/>
    </row>
    <row r="913" spans="1:20" ht="15.75">
      <c r="A913" s="13">
        <v>69671</v>
      </c>
      <c r="B913" s="41">
        <f t="shared" si="5"/>
        <v>30</v>
      </c>
      <c r="C913" s="32">
        <v>194.20500000000001</v>
      </c>
      <c r="D913" s="32">
        <v>267.46600000000001</v>
      </c>
      <c r="E913" s="38">
        <v>812.32899999999995</v>
      </c>
      <c r="F913" s="32">
        <v>1274</v>
      </c>
      <c r="G913" s="32">
        <v>50</v>
      </c>
      <c r="H913" s="40">
        <v>600</v>
      </c>
      <c r="I913" s="32">
        <v>695</v>
      </c>
      <c r="J913" s="32">
        <v>0</v>
      </c>
      <c r="K913" s="33"/>
      <c r="L913" s="33"/>
      <c r="M913" s="33"/>
      <c r="N913" s="33"/>
      <c r="O913" s="33"/>
      <c r="P913" s="33"/>
      <c r="Q913" s="33"/>
      <c r="R913" s="33"/>
      <c r="S913" s="33"/>
      <c r="T913" s="33"/>
    </row>
    <row r="914" spans="1:20" ht="15.75">
      <c r="A914" s="13">
        <v>69702</v>
      </c>
      <c r="B914" s="41">
        <f t="shared" si="5"/>
        <v>31</v>
      </c>
      <c r="C914" s="32">
        <v>131.881</v>
      </c>
      <c r="D914" s="32">
        <v>277.16699999999997</v>
      </c>
      <c r="E914" s="38">
        <v>829.952</v>
      </c>
      <c r="F914" s="32">
        <v>1239</v>
      </c>
      <c r="G914" s="32">
        <v>75</v>
      </c>
      <c r="H914" s="40">
        <v>600</v>
      </c>
      <c r="I914" s="32">
        <v>695</v>
      </c>
      <c r="J914" s="32">
        <v>0</v>
      </c>
      <c r="K914" s="33"/>
      <c r="L914" s="33"/>
      <c r="M914" s="33"/>
      <c r="N914" s="33"/>
      <c r="O914" s="33"/>
      <c r="P914" s="33"/>
      <c r="Q914" s="33"/>
      <c r="R914" s="33"/>
      <c r="S914" s="33"/>
      <c r="T914" s="33"/>
    </row>
    <row r="915" spans="1:20" ht="15.75">
      <c r="A915" s="13">
        <v>69732</v>
      </c>
      <c r="B915" s="41">
        <f t="shared" si="5"/>
        <v>30</v>
      </c>
      <c r="C915" s="32">
        <v>122.58</v>
      </c>
      <c r="D915" s="32">
        <v>297.94099999999997</v>
      </c>
      <c r="E915" s="38">
        <v>729.47900000000004</v>
      </c>
      <c r="F915" s="32">
        <v>1150</v>
      </c>
      <c r="G915" s="32">
        <v>100</v>
      </c>
      <c r="H915" s="40">
        <v>600</v>
      </c>
      <c r="I915" s="32">
        <v>695</v>
      </c>
      <c r="J915" s="32">
        <v>50</v>
      </c>
      <c r="K915" s="33"/>
      <c r="L915" s="33"/>
      <c r="M915" s="33"/>
      <c r="N915" s="33"/>
      <c r="O915" s="33"/>
      <c r="P915" s="33"/>
      <c r="Q915" s="33"/>
      <c r="R915" s="33"/>
      <c r="S915" s="33"/>
      <c r="T915" s="33"/>
    </row>
    <row r="916" spans="1:20" ht="15.75">
      <c r="A916" s="13">
        <v>69763</v>
      </c>
      <c r="B916" s="41">
        <f t="shared" si="5"/>
        <v>31</v>
      </c>
      <c r="C916" s="32">
        <v>122.58</v>
      </c>
      <c r="D916" s="32">
        <v>297.94099999999997</v>
      </c>
      <c r="E916" s="38">
        <v>729.47900000000004</v>
      </c>
      <c r="F916" s="32">
        <v>1150</v>
      </c>
      <c r="G916" s="32">
        <v>100</v>
      </c>
      <c r="H916" s="40">
        <v>600</v>
      </c>
      <c r="I916" s="32">
        <v>695</v>
      </c>
      <c r="J916" s="32">
        <v>50</v>
      </c>
      <c r="K916" s="33"/>
      <c r="L916" s="33"/>
      <c r="M916" s="33"/>
      <c r="N916" s="33"/>
      <c r="O916" s="33"/>
      <c r="P916" s="33"/>
      <c r="Q916" s="33"/>
      <c r="R916" s="33"/>
      <c r="S916" s="33"/>
      <c r="T916" s="33"/>
    </row>
    <row r="917" spans="1:20" ht="15.75">
      <c r="A917" s="13">
        <v>69794</v>
      </c>
      <c r="B917" s="41">
        <f t="shared" si="5"/>
        <v>31</v>
      </c>
      <c r="C917" s="32">
        <v>122.58</v>
      </c>
      <c r="D917" s="32">
        <v>297.94099999999997</v>
      </c>
      <c r="E917" s="38">
        <v>729.47900000000004</v>
      </c>
      <c r="F917" s="32">
        <v>1150</v>
      </c>
      <c r="G917" s="32">
        <v>100</v>
      </c>
      <c r="H917" s="40">
        <v>600</v>
      </c>
      <c r="I917" s="32">
        <v>695</v>
      </c>
      <c r="J917" s="32">
        <v>50</v>
      </c>
      <c r="K917" s="33"/>
      <c r="L917" s="33"/>
      <c r="M917" s="33"/>
      <c r="N917" s="33"/>
      <c r="O917" s="33"/>
      <c r="P917" s="33"/>
      <c r="Q917" s="33"/>
      <c r="R917" s="33"/>
      <c r="S917" s="33"/>
      <c r="T917" s="33"/>
    </row>
    <row r="918" spans="1:20" ht="15.75">
      <c r="A918" s="13">
        <v>69822</v>
      </c>
      <c r="B918" s="41">
        <f t="shared" si="5"/>
        <v>28</v>
      </c>
      <c r="C918" s="32">
        <v>122.58</v>
      </c>
      <c r="D918" s="32">
        <v>297.94099999999997</v>
      </c>
      <c r="E918" s="38">
        <v>729.47900000000004</v>
      </c>
      <c r="F918" s="32">
        <v>1150</v>
      </c>
      <c r="G918" s="32">
        <v>100</v>
      </c>
      <c r="H918" s="40">
        <v>600</v>
      </c>
      <c r="I918" s="32">
        <v>695</v>
      </c>
      <c r="J918" s="32">
        <v>50</v>
      </c>
      <c r="K918" s="33"/>
      <c r="L918" s="33"/>
      <c r="M918" s="33"/>
      <c r="N918" s="33"/>
      <c r="O918" s="33"/>
      <c r="P918" s="33"/>
      <c r="Q918" s="33"/>
      <c r="R918" s="33"/>
      <c r="S918" s="33"/>
      <c r="T918" s="33"/>
    </row>
    <row r="919" spans="1:20" ht="15.75">
      <c r="A919" s="13">
        <v>69853</v>
      </c>
      <c r="B919" s="41">
        <f t="shared" si="5"/>
        <v>31</v>
      </c>
      <c r="C919" s="32">
        <v>122.58</v>
      </c>
      <c r="D919" s="32">
        <v>297.94099999999997</v>
      </c>
      <c r="E919" s="38">
        <v>729.47900000000004</v>
      </c>
      <c r="F919" s="32">
        <v>1150</v>
      </c>
      <c r="G919" s="32">
        <v>100</v>
      </c>
      <c r="H919" s="40">
        <v>600</v>
      </c>
      <c r="I919" s="32">
        <v>695</v>
      </c>
      <c r="J919" s="32">
        <v>50</v>
      </c>
      <c r="K919" s="33"/>
      <c r="L919" s="33"/>
      <c r="M919" s="33"/>
      <c r="N919" s="33"/>
      <c r="O919" s="33"/>
      <c r="P919" s="33"/>
      <c r="Q919" s="33"/>
      <c r="R919" s="33"/>
      <c r="S919" s="33"/>
      <c r="T919" s="33"/>
    </row>
    <row r="920" spans="1:20" ht="15.75">
      <c r="A920" s="13">
        <v>69883</v>
      </c>
      <c r="B920" s="41">
        <f t="shared" si="5"/>
        <v>30</v>
      </c>
      <c r="C920" s="32">
        <v>141.29300000000001</v>
      </c>
      <c r="D920" s="32">
        <v>267.99299999999999</v>
      </c>
      <c r="E920" s="38">
        <v>829.71400000000006</v>
      </c>
      <c r="F920" s="32">
        <v>1239</v>
      </c>
      <c r="G920" s="32">
        <v>100</v>
      </c>
      <c r="H920" s="40">
        <v>600</v>
      </c>
      <c r="I920" s="32">
        <v>695</v>
      </c>
      <c r="J920" s="32">
        <v>50</v>
      </c>
      <c r="K920" s="33"/>
      <c r="L920" s="33"/>
      <c r="M920" s="33"/>
      <c r="N920" s="33"/>
      <c r="O920" s="33"/>
      <c r="P920" s="33"/>
      <c r="Q920" s="33"/>
      <c r="R920" s="33"/>
      <c r="S920" s="33"/>
      <c r="T920" s="33"/>
    </row>
    <row r="921" spans="1:20" ht="15.75">
      <c r="A921" s="13">
        <v>69914</v>
      </c>
      <c r="B921" s="41">
        <f t="shared" si="5"/>
        <v>31</v>
      </c>
      <c r="C921" s="32">
        <v>194.20500000000001</v>
      </c>
      <c r="D921" s="32">
        <v>267.46600000000001</v>
      </c>
      <c r="E921" s="38">
        <v>812.32899999999995</v>
      </c>
      <c r="F921" s="32">
        <v>1274</v>
      </c>
      <c r="G921" s="32">
        <v>75</v>
      </c>
      <c r="H921" s="40">
        <v>600</v>
      </c>
      <c r="I921" s="32">
        <v>695</v>
      </c>
      <c r="J921" s="32">
        <v>50</v>
      </c>
      <c r="K921" s="33"/>
      <c r="L921" s="33"/>
      <c r="M921" s="33"/>
      <c r="N921" s="33"/>
      <c r="O921" s="33"/>
      <c r="P921" s="33"/>
      <c r="Q921" s="33"/>
      <c r="R921" s="33"/>
      <c r="S921" s="33"/>
      <c r="T921" s="33"/>
    </row>
    <row r="922" spans="1:20" ht="15.75">
      <c r="A922" s="13">
        <v>69944</v>
      </c>
      <c r="B922" s="41">
        <f t="shared" si="5"/>
        <v>30</v>
      </c>
      <c r="C922" s="32">
        <v>194.20500000000001</v>
      </c>
      <c r="D922" s="32">
        <v>267.46600000000001</v>
      </c>
      <c r="E922" s="38">
        <v>812.32899999999995</v>
      </c>
      <c r="F922" s="32">
        <v>1274</v>
      </c>
      <c r="G922" s="32">
        <v>50</v>
      </c>
      <c r="H922" s="40">
        <v>600</v>
      </c>
      <c r="I922" s="32">
        <v>695</v>
      </c>
      <c r="J922" s="32">
        <v>50</v>
      </c>
      <c r="K922" s="33"/>
      <c r="L922" s="33"/>
      <c r="M922" s="33"/>
      <c r="N922" s="33"/>
      <c r="O922" s="33"/>
      <c r="P922" s="33"/>
      <c r="Q922" s="33"/>
      <c r="R922" s="33"/>
      <c r="S922" s="33"/>
      <c r="T922" s="33"/>
    </row>
    <row r="923" spans="1:20" ht="15.75">
      <c r="A923" s="13">
        <v>69975</v>
      </c>
      <c r="B923" s="41">
        <f t="shared" si="5"/>
        <v>31</v>
      </c>
      <c r="C923" s="32">
        <v>194.20500000000001</v>
      </c>
      <c r="D923" s="32">
        <v>267.46600000000001</v>
      </c>
      <c r="E923" s="38">
        <v>812.32899999999995</v>
      </c>
      <c r="F923" s="32">
        <v>1274</v>
      </c>
      <c r="G923" s="32">
        <v>50</v>
      </c>
      <c r="H923" s="40">
        <v>600</v>
      </c>
      <c r="I923" s="32">
        <v>695</v>
      </c>
      <c r="J923" s="32">
        <v>0</v>
      </c>
      <c r="K923" s="33"/>
      <c r="L923" s="33"/>
      <c r="M923" s="33"/>
      <c r="N923" s="33"/>
      <c r="O923" s="33"/>
      <c r="P923" s="33"/>
      <c r="Q923" s="33"/>
      <c r="R923" s="33"/>
      <c r="S923" s="33"/>
      <c r="T923" s="33"/>
    </row>
    <row r="924" spans="1:20" ht="15.75">
      <c r="A924" s="13">
        <v>70006</v>
      </c>
      <c r="B924" s="41">
        <f t="shared" si="5"/>
        <v>31</v>
      </c>
      <c r="C924" s="32">
        <v>194.20500000000001</v>
      </c>
      <c r="D924" s="32">
        <v>267.46600000000001</v>
      </c>
      <c r="E924" s="38">
        <v>812.32899999999995</v>
      </c>
      <c r="F924" s="32">
        <v>1274</v>
      </c>
      <c r="G924" s="32">
        <v>50</v>
      </c>
      <c r="H924" s="40">
        <v>600</v>
      </c>
      <c r="I924" s="32">
        <v>695</v>
      </c>
      <c r="J924" s="32">
        <v>0</v>
      </c>
      <c r="K924" s="33"/>
      <c r="L924" s="33"/>
      <c r="M924" s="33"/>
      <c r="N924" s="33"/>
      <c r="O924" s="33"/>
      <c r="P924" s="33"/>
      <c r="Q924" s="33"/>
      <c r="R924" s="33"/>
      <c r="S924" s="33"/>
      <c r="T924" s="33"/>
    </row>
    <row r="925" spans="1:20" ht="15.75">
      <c r="A925" s="13">
        <v>70036</v>
      </c>
      <c r="B925" s="41">
        <f t="shared" si="5"/>
        <v>30</v>
      </c>
      <c r="C925" s="32">
        <v>194.20500000000001</v>
      </c>
      <c r="D925" s="32">
        <v>267.46600000000001</v>
      </c>
      <c r="E925" s="38">
        <v>812.32899999999995</v>
      </c>
      <c r="F925" s="32">
        <v>1274</v>
      </c>
      <c r="G925" s="32">
        <v>50</v>
      </c>
      <c r="H925" s="40">
        <v>600</v>
      </c>
      <c r="I925" s="32">
        <v>695</v>
      </c>
      <c r="J925" s="32">
        <v>0</v>
      </c>
      <c r="K925" s="33"/>
      <c r="L925" s="33"/>
      <c r="M925" s="33"/>
      <c r="N925" s="33"/>
      <c r="O925" s="33"/>
      <c r="P925" s="33"/>
      <c r="Q925" s="33"/>
      <c r="R925" s="33"/>
      <c r="S925" s="33"/>
      <c r="T925" s="33"/>
    </row>
    <row r="926" spans="1:20" ht="15.75">
      <c r="A926" s="13">
        <v>70067</v>
      </c>
      <c r="B926" s="41">
        <f t="shared" si="5"/>
        <v>31</v>
      </c>
      <c r="C926" s="32">
        <v>131.881</v>
      </c>
      <c r="D926" s="32">
        <v>277.16699999999997</v>
      </c>
      <c r="E926" s="38">
        <v>829.952</v>
      </c>
      <c r="F926" s="32">
        <v>1239</v>
      </c>
      <c r="G926" s="32">
        <v>75</v>
      </c>
      <c r="H926" s="40">
        <v>600</v>
      </c>
      <c r="I926" s="32">
        <v>695</v>
      </c>
      <c r="J926" s="32">
        <v>0</v>
      </c>
      <c r="K926" s="33"/>
      <c r="L926" s="33"/>
      <c r="M926" s="33"/>
      <c r="N926" s="33"/>
      <c r="O926" s="33"/>
      <c r="P926" s="33"/>
      <c r="Q926" s="33"/>
      <c r="R926" s="33"/>
      <c r="S926" s="33"/>
      <c r="T926" s="33"/>
    </row>
    <row r="927" spans="1:20" ht="15.75">
      <c r="A927" s="13">
        <v>70097</v>
      </c>
      <c r="B927" s="41">
        <f t="shared" si="5"/>
        <v>30</v>
      </c>
      <c r="C927" s="32">
        <v>122.58</v>
      </c>
      <c r="D927" s="32">
        <v>297.94099999999997</v>
      </c>
      <c r="E927" s="38">
        <v>729.47900000000004</v>
      </c>
      <c r="F927" s="32">
        <v>1150</v>
      </c>
      <c r="G927" s="32">
        <v>100</v>
      </c>
      <c r="H927" s="40">
        <v>600</v>
      </c>
      <c r="I927" s="32">
        <v>695</v>
      </c>
      <c r="J927" s="32">
        <v>50</v>
      </c>
      <c r="K927" s="33"/>
      <c r="L927" s="33"/>
      <c r="M927" s="33"/>
      <c r="N927" s="33"/>
      <c r="O927" s="33"/>
      <c r="P927" s="33"/>
      <c r="Q927" s="33"/>
      <c r="R927" s="33"/>
      <c r="S927" s="33"/>
      <c r="T927" s="33"/>
    </row>
    <row r="928" spans="1:20" ht="15.75">
      <c r="A928" s="13">
        <v>70128</v>
      </c>
      <c r="B928" s="41">
        <f t="shared" si="5"/>
        <v>31</v>
      </c>
      <c r="C928" s="32">
        <v>122.58</v>
      </c>
      <c r="D928" s="32">
        <v>297.94099999999997</v>
      </c>
      <c r="E928" s="38">
        <v>729.47900000000004</v>
      </c>
      <c r="F928" s="32">
        <v>1150</v>
      </c>
      <c r="G928" s="32">
        <v>100</v>
      </c>
      <c r="H928" s="40">
        <v>600</v>
      </c>
      <c r="I928" s="32">
        <v>695</v>
      </c>
      <c r="J928" s="32">
        <v>50</v>
      </c>
      <c r="K928" s="33"/>
      <c r="L928" s="33"/>
      <c r="M928" s="33"/>
      <c r="N928" s="33"/>
      <c r="O928" s="33"/>
      <c r="P928" s="33"/>
      <c r="Q928" s="33"/>
      <c r="R928" s="33"/>
      <c r="S928" s="33"/>
      <c r="T928" s="33"/>
    </row>
    <row r="929" spans="1:20" ht="15.75">
      <c r="A929" s="13">
        <v>70159</v>
      </c>
      <c r="B929" s="41">
        <f t="shared" si="5"/>
        <v>31</v>
      </c>
      <c r="C929" s="32">
        <v>122.58</v>
      </c>
      <c r="D929" s="32">
        <v>297.94099999999997</v>
      </c>
      <c r="E929" s="38">
        <v>729.47900000000004</v>
      </c>
      <c r="F929" s="32">
        <v>1150</v>
      </c>
      <c r="G929" s="32">
        <v>100</v>
      </c>
      <c r="H929" s="40">
        <v>600</v>
      </c>
      <c r="I929" s="32">
        <v>695</v>
      </c>
      <c r="J929" s="32">
        <v>50</v>
      </c>
      <c r="K929" s="33"/>
      <c r="L929" s="33"/>
      <c r="M929" s="33"/>
      <c r="N929" s="33"/>
      <c r="O929" s="33"/>
      <c r="P929" s="33"/>
      <c r="Q929" s="33"/>
      <c r="R929" s="33"/>
      <c r="S929" s="33"/>
      <c r="T929" s="33"/>
    </row>
    <row r="930" spans="1:20" ht="15.75">
      <c r="A930" s="13">
        <v>70188</v>
      </c>
      <c r="B930" s="41">
        <f t="shared" si="5"/>
        <v>29</v>
      </c>
      <c r="C930" s="32">
        <v>122.58</v>
      </c>
      <c r="D930" s="32">
        <v>297.94099999999997</v>
      </c>
      <c r="E930" s="38">
        <v>729.47900000000004</v>
      </c>
      <c r="F930" s="32">
        <v>1150</v>
      </c>
      <c r="G930" s="32">
        <v>100</v>
      </c>
      <c r="H930" s="40">
        <v>600</v>
      </c>
      <c r="I930" s="32">
        <v>695</v>
      </c>
      <c r="J930" s="32">
        <v>50</v>
      </c>
      <c r="K930" s="33"/>
      <c r="L930" s="33"/>
      <c r="M930" s="33"/>
      <c r="N930" s="33"/>
      <c r="O930" s="33"/>
      <c r="P930" s="33"/>
      <c r="Q930" s="33"/>
      <c r="R930" s="33"/>
      <c r="S930" s="33"/>
      <c r="T930" s="33"/>
    </row>
    <row r="931" spans="1:20" ht="15.75">
      <c r="A931" s="13">
        <v>70219</v>
      </c>
      <c r="B931" s="41">
        <f t="shared" si="5"/>
        <v>31</v>
      </c>
      <c r="C931" s="32">
        <v>122.58</v>
      </c>
      <c r="D931" s="32">
        <v>297.94099999999997</v>
      </c>
      <c r="E931" s="38">
        <v>729.47900000000004</v>
      </c>
      <c r="F931" s="32">
        <v>1150</v>
      </c>
      <c r="G931" s="32">
        <v>100</v>
      </c>
      <c r="H931" s="40">
        <v>600</v>
      </c>
      <c r="I931" s="32">
        <v>695</v>
      </c>
      <c r="J931" s="32">
        <v>50</v>
      </c>
      <c r="K931" s="33"/>
      <c r="L931" s="33"/>
      <c r="M931" s="33"/>
      <c r="N931" s="33"/>
      <c r="O931" s="33"/>
      <c r="P931" s="33"/>
      <c r="Q931" s="33"/>
      <c r="R931" s="33"/>
      <c r="S931" s="33"/>
      <c r="T931" s="33"/>
    </row>
    <row r="932" spans="1:20" ht="15.75">
      <c r="A932" s="13">
        <v>70249</v>
      </c>
      <c r="B932" s="41">
        <f t="shared" si="5"/>
        <v>30</v>
      </c>
      <c r="C932" s="32">
        <v>141.29300000000001</v>
      </c>
      <c r="D932" s="32">
        <v>267.99299999999999</v>
      </c>
      <c r="E932" s="38">
        <v>829.71400000000006</v>
      </c>
      <c r="F932" s="32">
        <v>1239</v>
      </c>
      <c r="G932" s="32">
        <v>100</v>
      </c>
      <c r="H932" s="40">
        <v>600</v>
      </c>
      <c r="I932" s="32">
        <v>695</v>
      </c>
      <c r="J932" s="32">
        <v>50</v>
      </c>
      <c r="K932" s="33"/>
      <c r="L932" s="33"/>
      <c r="M932" s="33"/>
      <c r="N932" s="33"/>
      <c r="O932" s="33"/>
      <c r="P932" s="33"/>
      <c r="Q932" s="33"/>
      <c r="R932" s="33"/>
      <c r="S932" s="33"/>
      <c r="T932" s="33"/>
    </row>
    <row r="933" spans="1:20" ht="15.75">
      <c r="A933" s="13">
        <v>70280</v>
      </c>
      <c r="B933" s="41">
        <f t="shared" si="5"/>
        <v>31</v>
      </c>
      <c r="C933" s="32">
        <v>194.20500000000001</v>
      </c>
      <c r="D933" s="32">
        <v>267.46600000000001</v>
      </c>
      <c r="E933" s="38">
        <v>812.32899999999995</v>
      </c>
      <c r="F933" s="32">
        <v>1274</v>
      </c>
      <c r="G933" s="32">
        <v>75</v>
      </c>
      <c r="H933" s="40">
        <v>600</v>
      </c>
      <c r="I933" s="32">
        <v>695</v>
      </c>
      <c r="J933" s="32">
        <v>50</v>
      </c>
      <c r="K933" s="33"/>
      <c r="L933" s="33"/>
      <c r="M933" s="33"/>
      <c r="N933" s="33"/>
      <c r="O933" s="33"/>
      <c r="P933" s="33"/>
      <c r="Q933" s="33"/>
      <c r="R933" s="33"/>
      <c r="S933" s="33"/>
      <c r="T933" s="33"/>
    </row>
    <row r="934" spans="1:20" ht="15.75">
      <c r="A934" s="13">
        <v>70310</v>
      </c>
      <c r="B934" s="41">
        <f t="shared" si="5"/>
        <v>30</v>
      </c>
      <c r="C934" s="32">
        <v>194.20500000000001</v>
      </c>
      <c r="D934" s="32">
        <v>267.46600000000001</v>
      </c>
      <c r="E934" s="38">
        <v>812.32899999999995</v>
      </c>
      <c r="F934" s="32">
        <v>1274</v>
      </c>
      <c r="G934" s="32">
        <v>50</v>
      </c>
      <c r="H934" s="40">
        <v>600</v>
      </c>
      <c r="I934" s="32">
        <v>695</v>
      </c>
      <c r="J934" s="32">
        <v>50</v>
      </c>
      <c r="K934" s="33"/>
      <c r="L934" s="33"/>
      <c r="M934" s="33"/>
      <c r="N934" s="33"/>
      <c r="O934" s="33"/>
      <c r="P934" s="33"/>
      <c r="Q934" s="33"/>
      <c r="R934" s="33"/>
      <c r="S934" s="33"/>
      <c r="T934" s="33"/>
    </row>
    <row r="935" spans="1:20" ht="15.75">
      <c r="A935" s="13">
        <v>70341</v>
      </c>
      <c r="B935" s="41">
        <f t="shared" si="5"/>
        <v>31</v>
      </c>
      <c r="C935" s="32">
        <v>194.20500000000001</v>
      </c>
      <c r="D935" s="32">
        <v>267.46600000000001</v>
      </c>
      <c r="E935" s="38">
        <v>812.32899999999995</v>
      </c>
      <c r="F935" s="32">
        <v>1274</v>
      </c>
      <c r="G935" s="32">
        <v>50</v>
      </c>
      <c r="H935" s="40">
        <v>600</v>
      </c>
      <c r="I935" s="32">
        <v>695</v>
      </c>
      <c r="J935" s="32">
        <v>0</v>
      </c>
      <c r="K935" s="33"/>
      <c r="L935" s="33"/>
      <c r="M935" s="33"/>
      <c r="N935" s="33"/>
      <c r="O935" s="33"/>
      <c r="P935" s="33"/>
      <c r="Q935" s="33"/>
      <c r="R935" s="33"/>
      <c r="S935" s="33"/>
      <c r="T935" s="33"/>
    </row>
    <row r="936" spans="1:20" ht="15.75">
      <c r="A936" s="13">
        <v>70372</v>
      </c>
      <c r="B936" s="41">
        <f t="shared" si="5"/>
        <v>31</v>
      </c>
      <c r="C936" s="32">
        <v>194.20500000000001</v>
      </c>
      <c r="D936" s="32">
        <v>267.46600000000001</v>
      </c>
      <c r="E936" s="38">
        <v>812.32899999999995</v>
      </c>
      <c r="F936" s="32">
        <v>1274</v>
      </c>
      <c r="G936" s="32">
        <v>50</v>
      </c>
      <c r="H936" s="40">
        <v>600</v>
      </c>
      <c r="I936" s="32">
        <v>695</v>
      </c>
      <c r="J936" s="32">
        <v>0</v>
      </c>
      <c r="K936" s="33"/>
      <c r="L936" s="33"/>
      <c r="M936" s="33"/>
      <c r="N936" s="33"/>
      <c r="O936" s="33"/>
      <c r="P936" s="33"/>
      <c r="Q936" s="33"/>
      <c r="R936" s="33"/>
      <c r="S936" s="33"/>
      <c r="T936" s="33"/>
    </row>
    <row r="937" spans="1:20" ht="15.75">
      <c r="A937" s="13">
        <v>70402</v>
      </c>
      <c r="B937" s="41">
        <f t="shared" si="5"/>
        <v>30</v>
      </c>
      <c r="C937" s="32">
        <v>194.20500000000001</v>
      </c>
      <c r="D937" s="32">
        <v>267.46600000000001</v>
      </c>
      <c r="E937" s="38">
        <v>812.32899999999995</v>
      </c>
      <c r="F937" s="32">
        <v>1274</v>
      </c>
      <c r="G937" s="32">
        <v>50</v>
      </c>
      <c r="H937" s="40">
        <v>600</v>
      </c>
      <c r="I937" s="32">
        <v>695</v>
      </c>
      <c r="J937" s="32">
        <v>0</v>
      </c>
      <c r="K937" s="33"/>
      <c r="L937" s="33"/>
      <c r="M937" s="33"/>
      <c r="N937" s="33"/>
      <c r="O937" s="33"/>
      <c r="P937" s="33"/>
      <c r="Q937" s="33"/>
      <c r="R937" s="33"/>
      <c r="S937" s="33"/>
      <c r="T937" s="33"/>
    </row>
    <row r="938" spans="1:20" ht="15.75">
      <c r="A938" s="13">
        <v>70433</v>
      </c>
      <c r="B938" s="41">
        <f t="shared" si="5"/>
        <v>31</v>
      </c>
      <c r="C938" s="32">
        <v>131.881</v>
      </c>
      <c r="D938" s="32">
        <v>277.16699999999997</v>
      </c>
      <c r="E938" s="38">
        <v>829.952</v>
      </c>
      <c r="F938" s="32">
        <v>1239</v>
      </c>
      <c r="G938" s="32">
        <v>75</v>
      </c>
      <c r="H938" s="40">
        <v>600</v>
      </c>
      <c r="I938" s="32">
        <v>695</v>
      </c>
      <c r="J938" s="32">
        <v>0</v>
      </c>
      <c r="K938" s="33"/>
      <c r="L938" s="33"/>
      <c r="M938" s="33"/>
      <c r="N938" s="33"/>
      <c r="O938" s="33"/>
      <c r="P938" s="33"/>
      <c r="Q938" s="33"/>
      <c r="R938" s="33"/>
      <c r="S938" s="33"/>
      <c r="T938" s="33"/>
    </row>
    <row r="939" spans="1:20" ht="15.75">
      <c r="A939" s="13">
        <v>70463</v>
      </c>
      <c r="B939" s="41">
        <f t="shared" si="5"/>
        <v>30</v>
      </c>
      <c r="C939" s="32">
        <v>122.58</v>
      </c>
      <c r="D939" s="32">
        <v>297.94099999999997</v>
      </c>
      <c r="E939" s="38">
        <v>729.47900000000004</v>
      </c>
      <c r="F939" s="32">
        <v>1150</v>
      </c>
      <c r="G939" s="32">
        <v>100</v>
      </c>
      <c r="H939" s="40">
        <v>600</v>
      </c>
      <c r="I939" s="32">
        <v>695</v>
      </c>
      <c r="J939" s="32">
        <v>50</v>
      </c>
      <c r="K939" s="33"/>
      <c r="L939" s="33"/>
      <c r="M939" s="33"/>
      <c r="N939" s="33"/>
      <c r="O939" s="33"/>
      <c r="P939" s="33"/>
      <c r="Q939" s="33"/>
      <c r="R939" s="33"/>
      <c r="S939" s="33"/>
      <c r="T939" s="33"/>
    </row>
    <row r="940" spans="1:20" ht="15.75">
      <c r="A940" s="13">
        <v>70494</v>
      </c>
      <c r="B940" s="41">
        <f t="shared" si="5"/>
        <v>31</v>
      </c>
      <c r="C940" s="32">
        <v>122.58</v>
      </c>
      <c r="D940" s="32">
        <v>297.94099999999997</v>
      </c>
      <c r="E940" s="38">
        <v>729.47900000000004</v>
      </c>
      <c r="F940" s="32">
        <v>1150</v>
      </c>
      <c r="G940" s="32">
        <v>100</v>
      </c>
      <c r="H940" s="40">
        <v>600</v>
      </c>
      <c r="I940" s="32">
        <v>695</v>
      </c>
      <c r="J940" s="32">
        <v>50</v>
      </c>
      <c r="K940" s="33"/>
      <c r="L940" s="33"/>
      <c r="M940" s="33"/>
      <c r="N940" s="33"/>
      <c r="O940" s="33"/>
      <c r="P940" s="33"/>
      <c r="Q940" s="33"/>
      <c r="R940" s="33"/>
      <c r="S940" s="33"/>
      <c r="T940" s="33"/>
    </row>
    <row r="941" spans="1:20" ht="15.75">
      <c r="A941" s="13">
        <v>70525</v>
      </c>
      <c r="B941" s="41">
        <f t="shared" si="5"/>
        <v>31</v>
      </c>
      <c r="C941" s="32">
        <v>122.58</v>
      </c>
      <c r="D941" s="32">
        <v>297.94099999999997</v>
      </c>
      <c r="E941" s="38">
        <v>729.47900000000004</v>
      </c>
      <c r="F941" s="32">
        <v>1150</v>
      </c>
      <c r="G941" s="32">
        <v>100</v>
      </c>
      <c r="H941" s="40">
        <v>600</v>
      </c>
      <c r="I941" s="32">
        <v>695</v>
      </c>
      <c r="J941" s="32">
        <v>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</row>
    <row r="942" spans="1:20" ht="15.75">
      <c r="A942" s="13">
        <v>70553</v>
      </c>
      <c r="B942" s="41">
        <f t="shared" si="5"/>
        <v>28</v>
      </c>
      <c r="C942" s="32">
        <v>122.58</v>
      </c>
      <c r="D942" s="32">
        <v>297.94099999999997</v>
      </c>
      <c r="E942" s="38">
        <v>729.47900000000004</v>
      </c>
      <c r="F942" s="32">
        <v>1150</v>
      </c>
      <c r="G942" s="32">
        <v>100</v>
      </c>
      <c r="H942" s="40">
        <v>600</v>
      </c>
      <c r="I942" s="32">
        <v>695</v>
      </c>
      <c r="J942" s="32">
        <v>50</v>
      </c>
      <c r="K942" s="33"/>
      <c r="L942" s="33"/>
      <c r="M942" s="33"/>
      <c r="N942" s="33"/>
      <c r="O942" s="33"/>
      <c r="P942" s="33"/>
      <c r="Q942" s="33"/>
      <c r="R942" s="33"/>
      <c r="S942" s="33"/>
      <c r="T942" s="33"/>
    </row>
    <row r="943" spans="1:20" ht="15.75">
      <c r="A943" s="13">
        <v>70584</v>
      </c>
      <c r="B943" s="41">
        <f t="shared" si="5"/>
        <v>31</v>
      </c>
      <c r="C943" s="32">
        <v>122.58</v>
      </c>
      <c r="D943" s="32">
        <v>297.94099999999997</v>
      </c>
      <c r="E943" s="38">
        <v>729.47900000000004</v>
      </c>
      <c r="F943" s="32">
        <v>1150</v>
      </c>
      <c r="G943" s="32">
        <v>100</v>
      </c>
      <c r="H943" s="40">
        <v>600</v>
      </c>
      <c r="I943" s="32">
        <v>695</v>
      </c>
      <c r="J943" s="32">
        <v>50</v>
      </c>
      <c r="K943" s="33"/>
      <c r="L943" s="33"/>
      <c r="M943" s="33"/>
      <c r="N943" s="33"/>
      <c r="O943" s="33"/>
      <c r="P943" s="33"/>
      <c r="Q943" s="33"/>
      <c r="R943" s="33"/>
      <c r="S943" s="33"/>
      <c r="T943" s="33"/>
    </row>
    <row r="944" spans="1:20" ht="15.75">
      <c r="A944" s="13">
        <v>70614</v>
      </c>
      <c r="B944" s="41">
        <f t="shared" si="5"/>
        <v>30</v>
      </c>
      <c r="C944" s="32">
        <v>141.29300000000001</v>
      </c>
      <c r="D944" s="32">
        <v>267.99299999999999</v>
      </c>
      <c r="E944" s="38">
        <v>829.71400000000006</v>
      </c>
      <c r="F944" s="32">
        <v>1239</v>
      </c>
      <c r="G944" s="32">
        <v>100</v>
      </c>
      <c r="H944" s="40">
        <v>600</v>
      </c>
      <c r="I944" s="32">
        <v>695</v>
      </c>
      <c r="J944" s="32">
        <v>50</v>
      </c>
      <c r="K944" s="33"/>
      <c r="L944" s="33"/>
      <c r="M944" s="33"/>
      <c r="N944" s="33"/>
      <c r="O944" s="33"/>
      <c r="P944" s="33"/>
      <c r="Q944" s="33"/>
      <c r="R944" s="33"/>
      <c r="S944" s="33"/>
      <c r="T944" s="33"/>
    </row>
    <row r="945" spans="1:20" ht="15.75">
      <c r="A945" s="13">
        <v>70645</v>
      </c>
      <c r="B945" s="41">
        <f t="shared" si="5"/>
        <v>31</v>
      </c>
      <c r="C945" s="32">
        <v>194.20500000000001</v>
      </c>
      <c r="D945" s="32">
        <v>267.46600000000001</v>
      </c>
      <c r="E945" s="38">
        <v>812.32899999999995</v>
      </c>
      <c r="F945" s="32">
        <v>1274</v>
      </c>
      <c r="G945" s="32">
        <v>75</v>
      </c>
      <c r="H945" s="40">
        <v>600</v>
      </c>
      <c r="I945" s="32">
        <v>695</v>
      </c>
      <c r="J945" s="32">
        <v>50</v>
      </c>
      <c r="K945" s="33"/>
      <c r="L945" s="33"/>
      <c r="M945" s="33"/>
      <c r="N945" s="33"/>
      <c r="O945" s="33"/>
      <c r="P945" s="33"/>
      <c r="Q945" s="33"/>
      <c r="R945" s="33"/>
      <c r="S945" s="33"/>
      <c r="T945" s="33"/>
    </row>
    <row r="946" spans="1:20" ht="15.75">
      <c r="A946" s="13">
        <v>70675</v>
      </c>
      <c r="B946" s="41">
        <f t="shared" si="5"/>
        <v>30</v>
      </c>
      <c r="C946" s="32">
        <v>194.20500000000001</v>
      </c>
      <c r="D946" s="32">
        <v>267.46600000000001</v>
      </c>
      <c r="E946" s="38">
        <v>812.32899999999995</v>
      </c>
      <c r="F946" s="32">
        <v>1274</v>
      </c>
      <c r="G946" s="32">
        <v>50</v>
      </c>
      <c r="H946" s="40">
        <v>600</v>
      </c>
      <c r="I946" s="32">
        <v>695</v>
      </c>
      <c r="J946" s="32">
        <v>50</v>
      </c>
      <c r="K946" s="33"/>
      <c r="L946" s="33"/>
      <c r="M946" s="33"/>
      <c r="N946" s="33"/>
      <c r="O946" s="33"/>
      <c r="P946" s="33"/>
      <c r="Q946" s="33"/>
      <c r="R946" s="33"/>
      <c r="S946" s="33"/>
      <c r="T946" s="33"/>
    </row>
    <row r="947" spans="1:20" ht="15.75">
      <c r="A947" s="13">
        <v>70706</v>
      </c>
      <c r="B947" s="41">
        <f t="shared" si="5"/>
        <v>31</v>
      </c>
      <c r="C947" s="32">
        <v>194.20500000000001</v>
      </c>
      <c r="D947" s="32">
        <v>267.46600000000001</v>
      </c>
      <c r="E947" s="38">
        <v>812.32899999999995</v>
      </c>
      <c r="F947" s="32">
        <v>1274</v>
      </c>
      <c r="G947" s="32">
        <v>50</v>
      </c>
      <c r="H947" s="40">
        <v>600</v>
      </c>
      <c r="I947" s="32">
        <v>695</v>
      </c>
      <c r="J947" s="32">
        <v>0</v>
      </c>
      <c r="K947" s="33"/>
      <c r="L947" s="33"/>
      <c r="M947" s="33"/>
      <c r="N947" s="33"/>
      <c r="O947" s="33"/>
      <c r="P947" s="33"/>
      <c r="Q947" s="33"/>
      <c r="R947" s="33"/>
      <c r="S947" s="33"/>
      <c r="T947" s="33"/>
    </row>
    <row r="948" spans="1:20" ht="15.75">
      <c r="A948" s="13">
        <v>70737</v>
      </c>
      <c r="B948" s="41">
        <f t="shared" si="5"/>
        <v>31</v>
      </c>
      <c r="C948" s="32">
        <v>194.20500000000001</v>
      </c>
      <c r="D948" s="32">
        <v>267.46600000000001</v>
      </c>
      <c r="E948" s="38">
        <v>812.32899999999995</v>
      </c>
      <c r="F948" s="32">
        <v>1274</v>
      </c>
      <c r="G948" s="32">
        <v>50</v>
      </c>
      <c r="H948" s="40">
        <v>600</v>
      </c>
      <c r="I948" s="32">
        <v>695</v>
      </c>
      <c r="J948" s="32">
        <v>0</v>
      </c>
      <c r="K948" s="33"/>
      <c r="L948" s="33"/>
      <c r="M948" s="33"/>
      <c r="N948" s="33"/>
      <c r="O948" s="33"/>
      <c r="P948" s="33"/>
      <c r="Q948" s="33"/>
      <c r="R948" s="33"/>
      <c r="S948" s="33"/>
      <c r="T948" s="33"/>
    </row>
    <row r="949" spans="1:20" ht="15.75">
      <c r="A949" s="13">
        <v>70767</v>
      </c>
      <c r="B949" s="41">
        <f t="shared" si="5"/>
        <v>30</v>
      </c>
      <c r="C949" s="32">
        <v>194.20500000000001</v>
      </c>
      <c r="D949" s="32">
        <v>267.46600000000001</v>
      </c>
      <c r="E949" s="38">
        <v>812.32899999999995</v>
      </c>
      <c r="F949" s="32">
        <v>1274</v>
      </c>
      <c r="G949" s="32">
        <v>50</v>
      </c>
      <c r="H949" s="40">
        <v>600</v>
      </c>
      <c r="I949" s="32">
        <v>695</v>
      </c>
      <c r="J949" s="32">
        <v>0</v>
      </c>
      <c r="K949" s="33"/>
      <c r="L949" s="33"/>
      <c r="M949" s="33"/>
      <c r="N949" s="33"/>
      <c r="O949" s="33"/>
      <c r="P949" s="33"/>
      <c r="Q949" s="33"/>
      <c r="R949" s="33"/>
      <c r="S949" s="33"/>
      <c r="T949" s="33"/>
    </row>
    <row r="950" spans="1:20" ht="15.75">
      <c r="A950" s="13">
        <v>70798</v>
      </c>
      <c r="B950" s="41">
        <f t="shared" si="5"/>
        <v>31</v>
      </c>
      <c r="C950" s="32">
        <v>131.881</v>
      </c>
      <c r="D950" s="32">
        <v>277.16699999999997</v>
      </c>
      <c r="E950" s="38">
        <v>829.952</v>
      </c>
      <c r="F950" s="32">
        <v>1239</v>
      </c>
      <c r="G950" s="32">
        <v>75</v>
      </c>
      <c r="H950" s="40">
        <v>600</v>
      </c>
      <c r="I950" s="32">
        <v>695</v>
      </c>
      <c r="J950" s="32">
        <v>0</v>
      </c>
      <c r="K950" s="33"/>
      <c r="L950" s="33"/>
      <c r="M950" s="33"/>
      <c r="N950" s="33"/>
      <c r="O950" s="33"/>
      <c r="P950" s="33"/>
      <c r="Q950" s="33"/>
      <c r="R950" s="33"/>
      <c r="S950" s="33"/>
      <c r="T950" s="33"/>
    </row>
    <row r="951" spans="1:20" ht="15.75">
      <c r="A951" s="13">
        <v>70828</v>
      </c>
      <c r="B951" s="41">
        <f t="shared" si="5"/>
        <v>30</v>
      </c>
      <c r="C951" s="32">
        <v>122.58</v>
      </c>
      <c r="D951" s="32">
        <v>297.94099999999997</v>
      </c>
      <c r="E951" s="38">
        <v>729.47900000000004</v>
      </c>
      <c r="F951" s="32">
        <v>1150</v>
      </c>
      <c r="G951" s="32">
        <v>100</v>
      </c>
      <c r="H951" s="40">
        <v>600</v>
      </c>
      <c r="I951" s="32">
        <v>695</v>
      </c>
      <c r="J951" s="32">
        <v>50</v>
      </c>
      <c r="K951" s="33"/>
      <c r="L951" s="33"/>
      <c r="M951" s="33"/>
      <c r="N951" s="33"/>
      <c r="O951" s="33"/>
      <c r="P951" s="33"/>
      <c r="Q951" s="33"/>
      <c r="R951" s="33"/>
      <c r="S951" s="33"/>
      <c r="T951" s="33"/>
    </row>
    <row r="952" spans="1:20" ht="15.75">
      <c r="A952" s="13">
        <v>70859</v>
      </c>
      <c r="B952" s="41">
        <f t="shared" si="5"/>
        <v>31</v>
      </c>
      <c r="C952" s="32">
        <v>122.58</v>
      </c>
      <c r="D952" s="32">
        <v>297.94099999999997</v>
      </c>
      <c r="E952" s="38">
        <v>729.47900000000004</v>
      </c>
      <c r="F952" s="32">
        <v>1150</v>
      </c>
      <c r="G952" s="32">
        <v>100</v>
      </c>
      <c r="H952" s="40">
        <v>600</v>
      </c>
      <c r="I952" s="32">
        <v>695</v>
      </c>
      <c r="J952" s="32">
        <v>50</v>
      </c>
      <c r="K952" s="33"/>
      <c r="L952" s="33"/>
      <c r="M952" s="33"/>
      <c r="N952" s="33"/>
      <c r="O952" s="33"/>
      <c r="P952" s="33"/>
      <c r="Q952" s="33"/>
      <c r="R952" s="33"/>
      <c r="S952" s="33"/>
      <c r="T952" s="33"/>
    </row>
    <row r="953" spans="1:20" ht="15.75">
      <c r="A953" s="13">
        <v>70890</v>
      </c>
      <c r="B953" s="41">
        <f t="shared" ref="B953:B1016" si="6">EOMONTH(A953,0)-EOMONTH(A953,-1)</f>
        <v>31</v>
      </c>
      <c r="C953" s="32">
        <v>122.58</v>
      </c>
      <c r="D953" s="32">
        <v>297.94099999999997</v>
      </c>
      <c r="E953" s="38">
        <v>729.47900000000004</v>
      </c>
      <c r="F953" s="32">
        <v>1150</v>
      </c>
      <c r="G953" s="32">
        <v>100</v>
      </c>
      <c r="H953" s="40">
        <v>600</v>
      </c>
      <c r="I953" s="32">
        <v>695</v>
      </c>
      <c r="J953" s="32">
        <v>50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</row>
    <row r="954" spans="1:20" ht="15.75">
      <c r="A954" s="13">
        <v>70918</v>
      </c>
      <c r="B954" s="41">
        <f t="shared" si="6"/>
        <v>28</v>
      </c>
      <c r="C954" s="32">
        <v>122.58</v>
      </c>
      <c r="D954" s="32">
        <v>297.94099999999997</v>
      </c>
      <c r="E954" s="38">
        <v>729.47900000000004</v>
      </c>
      <c r="F954" s="32">
        <v>1150</v>
      </c>
      <c r="G954" s="32">
        <v>100</v>
      </c>
      <c r="H954" s="40">
        <v>600</v>
      </c>
      <c r="I954" s="32">
        <v>695</v>
      </c>
      <c r="J954" s="32">
        <v>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</row>
    <row r="955" spans="1:20" ht="15.75">
      <c r="A955" s="13">
        <v>70949</v>
      </c>
      <c r="B955" s="41">
        <f t="shared" si="6"/>
        <v>31</v>
      </c>
      <c r="C955" s="32">
        <v>122.58</v>
      </c>
      <c r="D955" s="32">
        <v>297.94099999999997</v>
      </c>
      <c r="E955" s="38">
        <v>729.47900000000004</v>
      </c>
      <c r="F955" s="32">
        <v>1150</v>
      </c>
      <c r="G955" s="32">
        <v>100</v>
      </c>
      <c r="H955" s="40">
        <v>600</v>
      </c>
      <c r="I955" s="32">
        <v>695</v>
      </c>
      <c r="J955" s="32">
        <v>50</v>
      </c>
      <c r="K955" s="33"/>
      <c r="L955" s="33"/>
      <c r="M955" s="33"/>
      <c r="N955" s="33"/>
      <c r="O955" s="33"/>
      <c r="P955" s="33"/>
      <c r="Q955" s="33"/>
      <c r="R955" s="33"/>
      <c r="S955" s="33"/>
      <c r="T955" s="33"/>
    </row>
    <row r="956" spans="1:20" ht="15.75">
      <c r="A956" s="13">
        <v>70979</v>
      </c>
      <c r="B956" s="41">
        <f t="shared" si="6"/>
        <v>30</v>
      </c>
      <c r="C956" s="32">
        <v>141.29300000000001</v>
      </c>
      <c r="D956" s="32">
        <v>267.99299999999999</v>
      </c>
      <c r="E956" s="38">
        <v>829.71400000000006</v>
      </c>
      <c r="F956" s="32">
        <v>1239</v>
      </c>
      <c r="G956" s="32">
        <v>100</v>
      </c>
      <c r="H956" s="40">
        <v>600</v>
      </c>
      <c r="I956" s="32">
        <v>695</v>
      </c>
      <c r="J956" s="32">
        <v>50</v>
      </c>
      <c r="K956" s="33"/>
      <c r="L956" s="33"/>
      <c r="M956" s="33"/>
      <c r="N956" s="33"/>
      <c r="O956" s="33"/>
      <c r="P956" s="33"/>
      <c r="Q956" s="33"/>
      <c r="R956" s="33"/>
      <c r="S956" s="33"/>
      <c r="T956" s="33"/>
    </row>
    <row r="957" spans="1:20" ht="15.75">
      <c r="A957" s="13">
        <v>71010</v>
      </c>
      <c r="B957" s="41">
        <f t="shared" si="6"/>
        <v>31</v>
      </c>
      <c r="C957" s="32">
        <v>194.20500000000001</v>
      </c>
      <c r="D957" s="32">
        <v>267.46600000000001</v>
      </c>
      <c r="E957" s="38">
        <v>812.32899999999995</v>
      </c>
      <c r="F957" s="32">
        <v>1274</v>
      </c>
      <c r="G957" s="32">
        <v>75</v>
      </c>
      <c r="H957" s="40">
        <v>600</v>
      </c>
      <c r="I957" s="32">
        <v>695</v>
      </c>
      <c r="J957" s="32">
        <v>50</v>
      </c>
      <c r="K957" s="33"/>
      <c r="L957" s="33"/>
      <c r="M957" s="33"/>
      <c r="N957" s="33"/>
      <c r="O957" s="33"/>
      <c r="P957" s="33"/>
      <c r="Q957" s="33"/>
      <c r="R957" s="33"/>
      <c r="S957" s="33"/>
      <c r="T957" s="33"/>
    </row>
    <row r="958" spans="1:20" ht="15.75">
      <c r="A958" s="13">
        <v>71040</v>
      </c>
      <c r="B958" s="41">
        <f t="shared" si="6"/>
        <v>30</v>
      </c>
      <c r="C958" s="32">
        <v>194.20500000000001</v>
      </c>
      <c r="D958" s="32">
        <v>267.46600000000001</v>
      </c>
      <c r="E958" s="38">
        <v>812.32899999999995</v>
      </c>
      <c r="F958" s="32">
        <v>1274</v>
      </c>
      <c r="G958" s="32">
        <v>50</v>
      </c>
      <c r="H958" s="40">
        <v>600</v>
      </c>
      <c r="I958" s="32">
        <v>695</v>
      </c>
      <c r="J958" s="32">
        <v>50</v>
      </c>
      <c r="K958" s="33"/>
      <c r="L958" s="33"/>
      <c r="M958" s="33"/>
      <c r="N958" s="33"/>
      <c r="O958" s="33"/>
      <c r="P958" s="33"/>
      <c r="Q958" s="33"/>
      <c r="R958" s="33"/>
      <c r="S958" s="33"/>
      <c r="T958" s="33"/>
    </row>
    <row r="959" spans="1:20" ht="15.75">
      <c r="A959" s="13">
        <v>71071</v>
      </c>
      <c r="B959" s="41">
        <f t="shared" si="6"/>
        <v>31</v>
      </c>
      <c r="C959" s="32">
        <v>194.20500000000001</v>
      </c>
      <c r="D959" s="32">
        <v>267.46600000000001</v>
      </c>
      <c r="E959" s="38">
        <v>812.32899999999995</v>
      </c>
      <c r="F959" s="32">
        <v>1274</v>
      </c>
      <c r="G959" s="32">
        <v>50</v>
      </c>
      <c r="H959" s="40">
        <v>600</v>
      </c>
      <c r="I959" s="32">
        <v>695</v>
      </c>
      <c r="J959" s="32">
        <v>0</v>
      </c>
      <c r="K959" s="33"/>
      <c r="L959" s="33"/>
      <c r="M959" s="33"/>
      <c r="N959" s="33"/>
      <c r="O959" s="33"/>
      <c r="P959" s="33"/>
      <c r="Q959" s="33"/>
      <c r="R959" s="33"/>
      <c r="S959" s="33"/>
      <c r="T959" s="33"/>
    </row>
    <row r="960" spans="1:20" ht="15.75">
      <c r="A960" s="13">
        <v>71102</v>
      </c>
      <c r="B960" s="41">
        <f t="shared" si="6"/>
        <v>31</v>
      </c>
      <c r="C960" s="32">
        <v>194.20500000000001</v>
      </c>
      <c r="D960" s="32">
        <v>267.46600000000001</v>
      </c>
      <c r="E960" s="38">
        <v>812.32899999999995</v>
      </c>
      <c r="F960" s="32">
        <v>1274</v>
      </c>
      <c r="G960" s="32">
        <v>50</v>
      </c>
      <c r="H960" s="40">
        <v>600</v>
      </c>
      <c r="I960" s="32">
        <v>695</v>
      </c>
      <c r="J960" s="32">
        <v>0</v>
      </c>
      <c r="K960" s="33"/>
      <c r="L960" s="33"/>
      <c r="M960" s="33"/>
      <c r="N960" s="33"/>
      <c r="O960" s="33"/>
      <c r="P960" s="33"/>
      <c r="Q960" s="33"/>
      <c r="R960" s="33"/>
      <c r="S960" s="33"/>
      <c r="T960" s="33"/>
    </row>
    <row r="961" spans="1:20" ht="15.75">
      <c r="A961" s="13">
        <v>71132</v>
      </c>
      <c r="B961" s="41">
        <f t="shared" si="6"/>
        <v>30</v>
      </c>
      <c r="C961" s="32">
        <v>194.20500000000001</v>
      </c>
      <c r="D961" s="32">
        <v>267.46600000000001</v>
      </c>
      <c r="E961" s="38">
        <v>812.32899999999995</v>
      </c>
      <c r="F961" s="32">
        <v>1274</v>
      </c>
      <c r="G961" s="32">
        <v>50</v>
      </c>
      <c r="H961" s="40">
        <v>600</v>
      </c>
      <c r="I961" s="32">
        <v>695</v>
      </c>
      <c r="J961" s="32">
        <v>0</v>
      </c>
      <c r="K961" s="33"/>
      <c r="L961" s="33"/>
      <c r="M961" s="33"/>
      <c r="N961" s="33"/>
      <c r="O961" s="33"/>
      <c r="P961" s="33"/>
      <c r="Q961" s="33"/>
      <c r="R961" s="33"/>
      <c r="S961" s="33"/>
      <c r="T961" s="33"/>
    </row>
    <row r="962" spans="1:20" ht="15.75">
      <c r="A962" s="13">
        <v>71163</v>
      </c>
      <c r="B962" s="41">
        <f t="shared" si="6"/>
        <v>31</v>
      </c>
      <c r="C962" s="32">
        <v>131.881</v>
      </c>
      <c r="D962" s="32">
        <v>277.16699999999997</v>
      </c>
      <c r="E962" s="38">
        <v>829.952</v>
      </c>
      <c r="F962" s="32">
        <v>1239</v>
      </c>
      <c r="G962" s="32">
        <v>75</v>
      </c>
      <c r="H962" s="40">
        <v>600</v>
      </c>
      <c r="I962" s="32">
        <v>695</v>
      </c>
      <c r="J962" s="32">
        <v>0</v>
      </c>
      <c r="K962" s="33"/>
      <c r="L962" s="33"/>
      <c r="M962" s="33"/>
      <c r="N962" s="33"/>
      <c r="O962" s="33"/>
      <c r="P962" s="33"/>
      <c r="Q962" s="33"/>
      <c r="R962" s="33"/>
      <c r="S962" s="33"/>
      <c r="T962" s="33"/>
    </row>
    <row r="963" spans="1:20" ht="15.75">
      <c r="A963" s="13">
        <v>71193</v>
      </c>
      <c r="B963" s="41">
        <f t="shared" si="6"/>
        <v>30</v>
      </c>
      <c r="C963" s="32">
        <v>122.58</v>
      </c>
      <c r="D963" s="32">
        <v>297.94099999999997</v>
      </c>
      <c r="E963" s="38">
        <v>729.47900000000004</v>
      </c>
      <c r="F963" s="32">
        <v>1150</v>
      </c>
      <c r="G963" s="32">
        <v>100</v>
      </c>
      <c r="H963" s="40">
        <v>600</v>
      </c>
      <c r="I963" s="32">
        <v>695</v>
      </c>
      <c r="J963" s="32">
        <v>50</v>
      </c>
      <c r="K963" s="33"/>
      <c r="L963" s="33"/>
      <c r="M963" s="33"/>
      <c r="N963" s="33"/>
      <c r="O963" s="33"/>
      <c r="P963" s="33"/>
      <c r="Q963" s="33"/>
      <c r="R963" s="33"/>
      <c r="S963" s="33"/>
      <c r="T963" s="33"/>
    </row>
    <row r="964" spans="1:20" ht="15.75">
      <c r="A964" s="13">
        <v>71224</v>
      </c>
      <c r="B964" s="41">
        <f t="shared" si="6"/>
        <v>31</v>
      </c>
      <c r="C964" s="32">
        <v>122.58</v>
      </c>
      <c r="D964" s="32">
        <v>297.94099999999997</v>
      </c>
      <c r="E964" s="38">
        <v>729.47900000000004</v>
      </c>
      <c r="F964" s="32">
        <v>1150</v>
      </c>
      <c r="G964" s="32">
        <v>100</v>
      </c>
      <c r="H964" s="40">
        <v>600</v>
      </c>
      <c r="I964" s="32">
        <v>695</v>
      </c>
      <c r="J964" s="32">
        <v>50</v>
      </c>
      <c r="K964" s="33"/>
      <c r="L964" s="33"/>
      <c r="M964" s="33"/>
      <c r="N964" s="33"/>
      <c r="O964" s="33"/>
      <c r="P964" s="33"/>
      <c r="Q964" s="33"/>
      <c r="R964" s="33"/>
      <c r="S964" s="33"/>
      <c r="T964" s="33"/>
    </row>
    <row r="965" spans="1:20" ht="15.75">
      <c r="A965" s="13">
        <v>71255</v>
      </c>
      <c r="B965" s="41">
        <f t="shared" si="6"/>
        <v>31</v>
      </c>
      <c r="C965" s="32">
        <v>122.58</v>
      </c>
      <c r="D965" s="32">
        <v>297.94099999999997</v>
      </c>
      <c r="E965" s="38">
        <v>729.47900000000004</v>
      </c>
      <c r="F965" s="32">
        <v>1150</v>
      </c>
      <c r="G965" s="32">
        <v>100</v>
      </c>
      <c r="H965" s="40">
        <v>600</v>
      </c>
      <c r="I965" s="32">
        <v>695</v>
      </c>
      <c r="J965" s="32">
        <v>50</v>
      </c>
      <c r="K965" s="33"/>
      <c r="L965" s="33"/>
      <c r="M965" s="33"/>
      <c r="N965" s="33"/>
      <c r="O965" s="33"/>
      <c r="P965" s="33"/>
      <c r="Q965" s="33"/>
      <c r="R965" s="33"/>
      <c r="S965" s="33"/>
      <c r="T965" s="33"/>
    </row>
    <row r="966" spans="1:20" ht="15.75">
      <c r="A966" s="13">
        <v>71283</v>
      </c>
      <c r="B966" s="41">
        <f t="shared" si="6"/>
        <v>28</v>
      </c>
      <c r="C966" s="32">
        <v>122.58</v>
      </c>
      <c r="D966" s="32">
        <v>297.94099999999997</v>
      </c>
      <c r="E966" s="38">
        <v>729.47900000000004</v>
      </c>
      <c r="F966" s="32">
        <v>1150</v>
      </c>
      <c r="G966" s="32">
        <v>100</v>
      </c>
      <c r="H966" s="40">
        <v>600</v>
      </c>
      <c r="I966" s="32">
        <v>695</v>
      </c>
      <c r="J966" s="32">
        <v>50</v>
      </c>
      <c r="K966" s="33"/>
      <c r="L966" s="33"/>
      <c r="M966" s="33"/>
      <c r="N966" s="33"/>
      <c r="O966" s="33"/>
      <c r="P966" s="33"/>
      <c r="Q966" s="33"/>
      <c r="R966" s="33"/>
      <c r="S966" s="33"/>
      <c r="T966" s="33"/>
    </row>
    <row r="967" spans="1:20" ht="15.75">
      <c r="A967" s="13">
        <v>71314</v>
      </c>
      <c r="B967" s="41">
        <f t="shared" si="6"/>
        <v>31</v>
      </c>
      <c r="C967" s="32">
        <v>122.58</v>
      </c>
      <c r="D967" s="32">
        <v>297.94099999999997</v>
      </c>
      <c r="E967" s="38">
        <v>729.47900000000004</v>
      </c>
      <c r="F967" s="32">
        <v>1150</v>
      </c>
      <c r="G967" s="32">
        <v>100</v>
      </c>
      <c r="H967" s="40">
        <v>600</v>
      </c>
      <c r="I967" s="32">
        <v>695</v>
      </c>
      <c r="J967" s="32">
        <v>50</v>
      </c>
      <c r="K967" s="33"/>
      <c r="L967" s="33"/>
      <c r="M967" s="33"/>
      <c r="N967" s="33"/>
      <c r="O967" s="33"/>
      <c r="P967" s="33"/>
      <c r="Q967" s="33"/>
      <c r="R967" s="33"/>
      <c r="S967" s="33"/>
      <c r="T967" s="33"/>
    </row>
    <row r="968" spans="1:20" ht="15.75">
      <c r="A968" s="13">
        <v>71344</v>
      </c>
      <c r="B968" s="41">
        <f t="shared" si="6"/>
        <v>30</v>
      </c>
      <c r="C968" s="32">
        <v>141.29300000000001</v>
      </c>
      <c r="D968" s="32">
        <v>267.99299999999999</v>
      </c>
      <c r="E968" s="38">
        <v>829.71400000000006</v>
      </c>
      <c r="F968" s="32">
        <v>1239</v>
      </c>
      <c r="G968" s="32">
        <v>100</v>
      </c>
      <c r="H968" s="40">
        <v>600</v>
      </c>
      <c r="I968" s="32">
        <v>695</v>
      </c>
      <c r="J968" s="32">
        <v>50</v>
      </c>
      <c r="K968" s="33"/>
      <c r="L968" s="33"/>
      <c r="M968" s="33"/>
      <c r="N968" s="33"/>
      <c r="O968" s="33"/>
      <c r="P968" s="33"/>
      <c r="Q968" s="33"/>
      <c r="R968" s="33"/>
      <c r="S968" s="33"/>
      <c r="T968" s="33"/>
    </row>
    <row r="969" spans="1:20" ht="15.75">
      <c r="A969" s="13">
        <v>71375</v>
      </c>
      <c r="B969" s="41">
        <f t="shared" si="6"/>
        <v>31</v>
      </c>
      <c r="C969" s="32">
        <v>194.20500000000001</v>
      </c>
      <c r="D969" s="32">
        <v>267.46600000000001</v>
      </c>
      <c r="E969" s="38">
        <v>812.32899999999995</v>
      </c>
      <c r="F969" s="32">
        <v>1274</v>
      </c>
      <c r="G969" s="32">
        <v>75</v>
      </c>
      <c r="H969" s="40">
        <v>600</v>
      </c>
      <c r="I969" s="32">
        <v>695</v>
      </c>
      <c r="J969" s="32">
        <v>50</v>
      </c>
      <c r="K969" s="33"/>
      <c r="L969" s="33"/>
      <c r="M969" s="33"/>
      <c r="N969" s="33"/>
      <c r="O969" s="33"/>
      <c r="P969" s="33"/>
      <c r="Q969" s="33"/>
      <c r="R969" s="33"/>
      <c r="S969" s="33"/>
      <c r="T969" s="33"/>
    </row>
    <row r="970" spans="1:20" ht="15.75">
      <c r="A970" s="13">
        <v>71405</v>
      </c>
      <c r="B970" s="41">
        <f t="shared" si="6"/>
        <v>30</v>
      </c>
      <c r="C970" s="32">
        <v>194.20500000000001</v>
      </c>
      <c r="D970" s="32">
        <v>267.46600000000001</v>
      </c>
      <c r="E970" s="38">
        <v>812.32899999999995</v>
      </c>
      <c r="F970" s="32">
        <v>1274</v>
      </c>
      <c r="G970" s="32">
        <v>50</v>
      </c>
      <c r="H970" s="40">
        <v>600</v>
      </c>
      <c r="I970" s="32">
        <v>695</v>
      </c>
      <c r="J970" s="32">
        <v>50</v>
      </c>
      <c r="K970" s="33"/>
      <c r="L970" s="33"/>
      <c r="M970" s="33"/>
      <c r="N970" s="33"/>
      <c r="O970" s="33"/>
      <c r="P970" s="33"/>
      <c r="Q970" s="33"/>
      <c r="R970" s="33"/>
      <c r="S970" s="33"/>
      <c r="T970" s="33"/>
    </row>
    <row r="971" spans="1:20" ht="15.75">
      <c r="A971" s="13">
        <v>71436</v>
      </c>
      <c r="B971" s="41">
        <f t="shared" si="6"/>
        <v>31</v>
      </c>
      <c r="C971" s="32">
        <v>194.20500000000001</v>
      </c>
      <c r="D971" s="32">
        <v>267.46600000000001</v>
      </c>
      <c r="E971" s="38">
        <v>812.32899999999995</v>
      </c>
      <c r="F971" s="32">
        <v>1274</v>
      </c>
      <c r="G971" s="32">
        <v>50</v>
      </c>
      <c r="H971" s="40">
        <v>600</v>
      </c>
      <c r="I971" s="32">
        <v>695</v>
      </c>
      <c r="J971" s="32">
        <v>0</v>
      </c>
      <c r="K971" s="33"/>
      <c r="L971" s="33"/>
      <c r="M971" s="33"/>
      <c r="N971" s="33"/>
      <c r="O971" s="33"/>
      <c r="P971" s="33"/>
      <c r="Q971" s="33"/>
      <c r="R971" s="33"/>
      <c r="S971" s="33"/>
      <c r="T971" s="33"/>
    </row>
    <row r="972" spans="1:20" ht="15.75">
      <c r="A972" s="13">
        <v>71467</v>
      </c>
      <c r="B972" s="41">
        <f t="shared" si="6"/>
        <v>31</v>
      </c>
      <c r="C972" s="32">
        <v>194.20500000000001</v>
      </c>
      <c r="D972" s="32">
        <v>267.46600000000001</v>
      </c>
      <c r="E972" s="38">
        <v>812.32899999999995</v>
      </c>
      <c r="F972" s="32">
        <v>1274</v>
      </c>
      <c r="G972" s="32">
        <v>50</v>
      </c>
      <c r="H972" s="40">
        <v>600</v>
      </c>
      <c r="I972" s="32">
        <v>695</v>
      </c>
      <c r="J972" s="32">
        <v>0</v>
      </c>
      <c r="K972" s="33"/>
      <c r="L972" s="33"/>
      <c r="M972" s="33"/>
      <c r="N972" s="33"/>
      <c r="O972" s="33"/>
      <c r="P972" s="33"/>
      <c r="Q972" s="33"/>
      <c r="R972" s="33"/>
      <c r="S972" s="33"/>
      <c r="T972" s="33"/>
    </row>
    <row r="973" spans="1:20" ht="15.75">
      <c r="A973" s="13">
        <v>71497</v>
      </c>
      <c r="B973" s="41">
        <f t="shared" si="6"/>
        <v>30</v>
      </c>
      <c r="C973" s="32">
        <v>194.20500000000001</v>
      </c>
      <c r="D973" s="32">
        <v>267.46600000000001</v>
      </c>
      <c r="E973" s="38">
        <v>812.32899999999995</v>
      </c>
      <c r="F973" s="32">
        <v>1274</v>
      </c>
      <c r="G973" s="32">
        <v>50</v>
      </c>
      <c r="H973" s="40">
        <v>600</v>
      </c>
      <c r="I973" s="32">
        <v>695</v>
      </c>
      <c r="J973" s="32">
        <v>0</v>
      </c>
      <c r="K973" s="33"/>
      <c r="L973" s="33"/>
      <c r="M973" s="33"/>
      <c r="N973" s="33"/>
      <c r="O973" s="33"/>
      <c r="P973" s="33"/>
      <c r="Q973" s="33"/>
      <c r="R973" s="33"/>
      <c r="S973" s="33"/>
      <c r="T973" s="33"/>
    </row>
    <row r="974" spans="1:20" ht="15.75">
      <c r="A974" s="13">
        <v>71528</v>
      </c>
      <c r="B974" s="41">
        <f t="shared" si="6"/>
        <v>31</v>
      </c>
      <c r="C974" s="32">
        <v>131.881</v>
      </c>
      <c r="D974" s="32">
        <v>277.16699999999997</v>
      </c>
      <c r="E974" s="38">
        <v>829.952</v>
      </c>
      <c r="F974" s="32">
        <v>1239</v>
      </c>
      <c r="G974" s="32">
        <v>75</v>
      </c>
      <c r="H974" s="40">
        <v>600</v>
      </c>
      <c r="I974" s="32">
        <v>695</v>
      </c>
      <c r="J974" s="32">
        <v>0</v>
      </c>
      <c r="K974" s="33"/>
      <c r="L974" s="33"/>
      <c r="M974" s="33"/>
      <c r="N974" s="33"/>
      <c r="O974" s="33"/>
      <c r="P974" s="33"/>
      <c r="Q974" s="33"/>
      <c r="R974" s="33"/>
      <c r="S974" s="33"/>
      <c r="T974" s="33"/>
    </row>
    <row r="975" spans="1:20" ht="15.75">
      <c r="A975" s="13">
        <v>71558</v>
      </c>
      <c r="B975" s="41">
        <f t="shared" si="6"/>
        <v>30</v>
      </c>
      <c r="C975" s="32">
        <v>122.58</v>
      </c>
      <c r="D975" s="32">
        <v>297.94099999999997</v>
      </c>
      <c r="E975" s="38">
        <v>729.47900000000004</v>
      </c>
      <c r="F975" s="32">
        <v>1150</v>
      </c>
      <c r="G975" s="32">
        <v>100</v>
      </c>
      <c r="H975" s="40">
        <v>600</v>
      </c>
      <c r="I975" s="32">
        <v>695</v>
      </c>
      <c r="J975" s="32">
        <v>50</v>
      </c>
      <c r="K975" s="33"/>
      <c r="L975" s="33"/>
      <c r="M975" s="33"/>
      <c r="N975" s="33"/>
      <c r="O975" s="33"/>
      <c r="P975" s="33"/>
      <c r="Q975" s="33"/>
      <c r="R975" s="33"/>
      <c r="S975" s="33"/>
      <c r="T975" s="33"/>
    </row>
    <row r="976" spans="1:20" ht="15.75">
      <c r="A976" s="13">
        <v>71589</v>
      </c>
      <c r="B976" s="41">
        <f t="shared" si="6"/>
        <v>31</v>
      </c>
      <c r="C976" s="32">
        <v>122.58</v>
      </c>
      <c r="D976" s="32">
        <v>297.94099999999997</v>
      </c>
      <c r="E976" s="38">
        <v>729.47900000000004</v>
      </c>
      <c r="F976" s="32">
        <v>1150</v>
      </c>
      <c r="G976" s="32">
        <v>100</v>
      </c>
      <c r="H976" s="40">
        <v>600</v>
      </c>
      <c r="I976" s="32">
        <v>695</v>
      </c>
      <c r="J976" s="32">
        <v>50</v>
      </c>
      <c r="K976" s="33"/>
      <c r="L976" s="33"/>
      <c r="M976" s="33"/>
      <c r="N976" s="33"/>
      <c r="O976" s="33"/>
      <c r="P976" s="33"/>
      <c r="Q976" s="33"/>
      <c r="R976" s="33"/>
      <c r="S976" s="33"/>
      <c r="T976" s="33"/>
    </row>
    <row r="977" spans="1:20" ht="15.75">
      <c r="A977" s="13">
        <v>71620</v>
      </c>
      <c r="B977" s="41">
        <f t="shared" si="6"/>
        <v>31</v>
      </c>
      <c r="C977" s="32">
        <v>122.58</v>
      </c>
      <c r="D977" s="32">
        <v>297.94099999999997</v>
      </c>
      <c r="E977" s="38">
        <v>729.47900000000004</v>
      </c>
      <c r="F977" s="32">
        <v>1150</v>
      </c>
      <c r="G977" s="32">
        <v>100</v>
      </c>
      <c r="H977" s="40">
        <v>600</v>
      </c>
      <c r="I977" s="32">
        <v>695</v>
      </c>
      <c r="J977" s="32">
        <v>50</v>
      </c>
      <c r="K977" s="33"/>
      <c r="L977" s="33"/>
      <c r="M977" s="33"/>
      <c r="N977" s="33"/>
      <c r="O977" s="33"/>
      <c r="P977" s="33"/>
      <c r="Q977" s="33"/>
      <c r="R977" s="33"/>
      <c r="S977" s="33"/>
      <c r="T977" s="33"/>
    </row>
    <row r="978" spans="1:20" ht="15.75">
      <c r="A978" s="13">
        <v>71649</v>
      </c>
      <c r="B978" s="41">
        <f t="shared" si="6"/>
        <v>29</v>
      </c>
      <c r="C978" s="32">
        <v>122.58</v>
      </c>
      <c r="D978" s="32">
        <v>297.94099999999997</v>
      </c>
      <c r="E978" s="38">
        <v>729.47900000000004</v>
      </c>
      <c r="F978" s="32">
        <v>1150</v>
      </c>
      <c r="G978" s="32">
        <v>100</v>
      </c>
      <c r="H978" s="40">
        <v>600</v>
      </c>
      <c r="I978" s="32">
        <v>695</v>
      </c>
      <c r="J978" s="32">
        <v>50</v>
      </c>
      <c r="K978" s="33"/>
      <c r="L978" s="33"/>
      <c r="M978" s="33"/>
      <c r="N978" s="33"/>
      <c r="O978" s="33"/>
      <c r="P978" s="33"/>
      <c r="Q978" s="33"/>
      <c r="R978" s="33"/>
      <c r="S978" s="33"/>
      <c r="T978" s="33"/>
    </row>
    <row r="979" spans="1:20" ht="15.75">
      <c r="A979" s="13">
        <v>71680</v>
      </c>
      <c r="B979" s="41">
        <f t="shared" si="6"/>
        <v>31</v>
      </c>
      <c r="C979" s="32">
        <v>122.58</v>
      </c>
      <c r="D979" s="32">
        <v>297.94099999999997</v>
      </c>
      <c r="E979" s="38">
        <v>729.47900000000004</v>
      </c>
      <c r="F979" s="32">
        <v>1150</v>
      </c>
      <c r="G979" s="32">
        <v>100</v>
      </c>
      <c r="H979" s="40">
        <v>600</v>
      </c>
      <c r="I979" s="32">
        <v>695</v>
      </c>
      <c r="J979" s="32">
        <v>50</v>
      </c>
      <c r="K979" s="33"/>
      <c r="L979" s="33"/>
      <c r="M979" s="33"/>
      <c r="N979" s="33"/>
      <c r="O979" s="33"/>
      <c r="P979" s="33"/>
      <c r="Q979" s="33"/>
      <c r="R979" s="33"/>
      <c r="S979" s="33"/>
      <c r="T979" s="33"/>
    </row>
    <row r="980" spans="1:20" ht="15.75">
      <c r="A980" s="13">
        <v>71710</v>
      </c>
      <c r="B980" s="41">
        <f t="shared" si="6"/>
        <v>30</v>
      </c>
      <c r="C980" s="32">
        <v>141.29300000000001</v>
      </c>
      <c r="D980" s="32">
        <v>267.99299999999999</v>
      </c>
      <c r="E980" s="38">
        <v>829.71400000000006</v>
      </c>
      <c r="F980" s="32">
        <v>1239</v>
      </c>
      <c r="G980" s="32">
        <v>100</v>
      </c>
      <c r="H980" s="40">
        <v>600</v>
      </c>
      <c r="I980" s="32">
        <v>695</v>
      </c>
      <c r="J980" s="32">
        <v>50</v>
      </c>
      <c r="K980" s="33"/>
      <c r="L980" s="33"/>
      <c r="M980" s="33"/>
      <c r="N980" s="33"/>
      <c r="O980" s="33"/>
      <c r="P980" s="33"/>
      <c r="Q980" s="33"/>
      <c r="R980" s="33"/>
      <c r="S980" s="33"/>
      <c r="T980" s="33"/>
    </row>
    <row r="981" spans="1:20" ht="15.75">
      <c r="A981" s="13">
        <v>71741</v>
      </c>
      <c r="B981" s="41">
        <f t="shared" si="6"/>
        <v>31</v>
      </c>
      <c r="C981" s="32">
        <v>194.20500000000001</v>
      </c>
      <c r="D981" s="32">
        <v>267.46600000000001</v>
      </c>
      <c r="E981" s="38">
        <v>812.32899999999995</v>
      </c>
      <c r="F981" s="32">
        <v>1274</v>
      </c>
      <c r="G981" s="32">
        <v>75</v>
      </c>
      <c r="H981" s="40">
        <v>600</v>
      </c>
      <c r="I981" s="32">
        <v>695</v>
      </c>
      <c r="J981" s="32">
        <v>50</v>
      </c>
      <c r="K981" s="33"/>
      <c r="L981" s="33"/>
      <c r="M981" s="33"/>
      <c r="N981" s="33"/>
      <c r="O981" s="33"/>
      <c r="P981" s="33"/>
      <c r="Q981" s="33"/>
      <c r="R981" s="33"/>
      <c r="S981" s="33"/>
      <c r="T981" s="33"/>
    </row>
    <row r="982" spans="1:20" ht="15.75">
      <c r="A982" s="13">
        <v>71771</v>
      </c>
      <c r="B982" s="41">
        <f t="shared" si="6"/>
        <v>30</v>
      </c>
      <c r="C982" s="32">
        <v>194.20500000000001</v>
      </c>
      <c r="D982" s="32">
        <v>267.46600000000001</v>
      </c>
      <c r="E982" s="38">
        <v>812.32899999999995</v>
      </c>
      <c r="F982" s="32">
        <v>1274</v>
      </c>
      <c r="G982" s="32">
        <v>50</v>
      </c>
      <c r="H982" s="40">
        <v>600</v>
      </c>
      <c r="I982" s="32">
        <v>695</v>
      </c>
      <c r="J982" s="32">
        <v>50</v>
      </c>
      <c r="K982" s="33"/>
      <c r="L982" s="33"/>
      <c r="M982" s="33"/>
      <c r="N982" s="33"/>
      <c r="O982" s="33"/>
      <c r="P982" s="33"/>
      <c r="Q982" s="33"/>
      <c r="R982" s="33"/>
      <c r="S982" s="33"/>
      <c r="T982" s="33"/>
    </row>
    <row r="983" spans="1:20" ht="15.75">
      <c r="A983" s="13">
        <v>71802</v>
      </c>
      <c r="B983" s="41">
        <f t="shared" si="6"/>
        <v>31</v>
      </c>
      <c r="C983" s="32">
        <v>194.20500000000001</v>
      </c>
      <c r="D983" s="32">
        <v>267.46600000000001</v>
      </c>
      <c r="E983" s="38">
        <v>812.32899999999995</v>
      </c>
      <c r="F983" s="32">
        <v>1274</v>
      </c>
      <c r="G983" s="32">
        <v>50</v>
      </c>
      <c r="H983" s="40">
        <v>600</v>
      </c>
      <c r="I983" s="32">
        <v>695</v>
      </c>
      <c r="J983" s="32">
        <v>0</v>
      </c>
      <c r="K983" s="33"/>
      <c r="L983" s="33"/>
      <c r="M983" s="33"/>
      <c r="N983" s="33"/>
      <c r="O983" s="33"/>
      <c r="P983" s="33"/>
      <c r="Q983" s="33"/>
      <c r="R983" s="33"/>
      <c r="S983" s="33"/>
      <c r="T983" s="33"/>
    </row>
    <row r="984" spans="1:20" ht="15.75">
      <c r="A984" s="13">
        <v>71833</v>
      </c>
      <c r="B984" s="41">
        <f t="shared" si="6"/>
        <v>31</v>
      </c>
      <c r="C984" s="32">
        <v>194.20500000000001</v>
      </c>
      <c r="D984" s="32">
        <v>267.46600000000001</v>
      </c>
      <c r="E984" s="38">
        <v>812.32899999999995</v>
      </c>
      <c r="F984" s="32">
        <v>1274</v>
      </c>
      <c r="G984" s="32">
        <v>50</v>
      </c>
      <c r="H984" s="40">
        <v>600</v>
      </c>
      <c r="I984" s="32">
        <v>695</v>
      </c>
      <c r="J984" s="32">
        <v>0</v>
      </c>
      <c r="K984" s="33"/>
      <c r="L984" s="33"/>
      <c r="M984" s="33"/>
      <c r="N984" s="33"/>
      <c r="O984" s="33"/>
      <c r="P984" s="33"/>
      <c r="Q984" s="33"/>
      <c r="R984" s="33"/>
      <c r="S984" s="33"/>
      <c r="T984" s="33"/>
    </row>
    <row r="985" spans="1:20" ht="15.75">
      <c r="A985" s="13">
        <v>71863</v>
      </c>
      <c r="B985" s="41">
        <f t="shared" si="6"/>
        <v>30</v>
      </c>
      <c r="C985" s="32">
        <v>194.20500000000001</v>
      </c>
      <c r="D985" s="32">
        <v>267.46600000000001</v>
      </c>
      <c r="E985" s="38">
        <v>812.32899999999995</v>
      </c>
      <c r="F985" s="32">
        <v>1274</v>
      </c>
      <c r="G985" s="32">
        <v>50</v>
      </c>
      <c r="H985" s="40">
        <v>600</v>
      </c>
      <c r="I985" s="32">
        <v>695</v>
      </c>
      <c r="J985" s="32">
        <v>0</v>
      </c>
      <c r="K985" s="33"/>
      <c r="L985" s="33"/>
      <c r="M985" s="33"/>
      <c r="N985" s="33"/>
      <c r="O985" s="33"/>
      <c r="P985" s="33"/>
      <c r="Q985" s="33"/>
      <c r="R985" s="33"/>
      <c r="S985" s="33"/>
      <c r="T985" s="33"/>
    </row>
    <row r="986" spans="1:20" ht="15.75">
      <c r="A986" s="13">
        <v>71894</v>
      </c>
      <c r="B986" s="41">
        <f t="shared" si="6"/>
        <v>31</v>
      </c>
      <c r="C986" s="32">
        <v>131.881</v>
      </c>
      <c r="D986" s="32">
        <v>277.16699999999997</v>
      </c>
      <c r="E986" s="38">
        <v>829.952</v>
      </c>
      <c r="F986" s="32">
        <v>1239</v>
      </c>
      <c r="G986" s="32">
        <v>75</v>
      </c>
      <c r="H986" s="40">
        <v>600</v>
      </c>
      <c r="I986" s="32">
        <v>695</v>
      </c>
      <c r="J986" s="32">
        <v>0</v>
      </c>
      <c r="K986" s="33"/>
      <c r="L986" s="33"/>
      <c r="M986" s="33"/>
      <c r="N986" s="33"/>
      <c r="O986" s="33"/>
      <c r="P986" s="33"/>
      <c r="Q986" s="33"/>
      <c r="R986" s="33"/>
      <c r="S986" s="33"/>
      <c r="T986" s="33"/>
    </row>
    <row r="987" spans="1:20" ht="15.75">
      <c r="A987" s="13">
        <v>71924</v>
      </c>
      <c r="B987" s="41">
        <f t="shared" si="6"/>
        <v>30</v>
      </c>
      <c r="C987" s="32">
        <v>122.58</v>
      </c>
      <c r="D987" s="32">
        <v>297.94099999999997</v>
      </c>
      <c r="E987" s="38">
        <v>729.47900000000004</v>
      </c>
      <c r="F987" s="32">
        <v>1150</v>
      </c>
      <c r="G987" s="32">
        <v>100</v>
      </c>
      <c r="H987" s="40">
        <v>600</v>
      </c>
      <c r="I987" s="32">
        <v>695</v>
      </c>
      <c r="J987" s="32">
        <v>50</v>
      </c>
      <c r="K987" s="33"/>
      <c r="L987" s="33"/>
      <c r="M987" s="33"/>
      <c r="N987" s="33"/>
      <c r="O987" s="33"/>
      <c r="P987" s="33"/>
      <c r="Q987" s="33"/>
      <c r="R987" s="33"/>
      <c r="S987" s="33"/>
      <c r="T987" s="33"/>
    </row>
    <row r="988" spans="1:20" ht="15.75">
      <c r="A988" s="13">
        <v>71955</v>
      </c>
      <c r="B988" s="41">
        <f t="shared" si="6"/>
        <v>31</v>
      </c>
      <c r="C988" s="32">
        <v>122.58</v>
      </c>
      <c r="D988" s="32">
        <v>297.94099999999997</v>
      </c>
      <c r="E988" s="38">
        <v>729.47900000000004</v>
      </c>
      <c r="F988" s="32">
        <v>1150</v>
      </c>
      <c r="G988" s="32">
        <v>100</v>
      </c>
      <c r="H988" s="40">
        <v>600</v>
      </c>
      <c r="I988" s="32">
        <v>695</v>
      </c>
      <c r="J988" s="32">
        <v>50</v>
      </c>
      <c r="K988" s="33"/>
      <c r="L988" s="33"/>
      <c r="M988" s="33"/>
      <c r="N988" s="33"/>
      <c r="O988" s="33"/>
      <c r="P988" s="33"/>
      <c r="Q988" s="33"/>
      <c r="R988" s="33"/>
      <c r="S988" s="33"/>
      <c r="T988" s="33"/>
    </row>
    <row r="989" spans="1:20" ht="15.75">
      <c r="A989" s="13">
        <v>71986</v>
      </c>
      <c r="B989" s="41">
        <f t="shared" si="6"/>
        <v>31</v>
      </c>
      <c r="C989" s="32">
        <v>122.58</v>
      </c>
      <c r="D989" s="32">
        <v>297.94099999999997</v>
      </c>
      <c r="E989" s="38">
        <v>729.47900000000004</v>
      </c>
      <c r="F989" s="32">
        <v>1150</v>
      </c>
      <c r="G989" s="32">
        <v>100</v>
      </c>
      <c r="H989" s="40">
        <v>600</v>
      </c>
      <c r="I989" s="32">
        <v>695</v>
      </c>
      <c r="J989" s="32">
        <v>50</v>
      </c>
      <c r="K989" s="33"/>
      <c r="L989" s="33"/>
      <c r="M989" s="33"/>
      <c r="N989" s="33"/>
      <c r="O989" s="33"/>
      <c r="P989" s="33"/>
      <c r="Q989" s="33"/>
      <c r="R989" s="33"/>
      <c r="S989" s="33"/>
      <c r="T989" s="33"/>
    </row>
    <row r="990" spans="1:20" ht="15.75">
      <c r="A990" s="13">
        <v>72014</v>
      </c>
      <c r="B990" s="41">
        <f t="shared" si="6"/>
        <v>28</v>
      </c>
      <c r="C990" s="32">
        <v>122.58</v>
      </c>
      <c r="D990" s="32">
        <v>297.94099999999997</v>
      </c>
      <c r="E990" s="38">
        <v>729.47900000000004</v>
      </c>
      <c r="F990" s="32">
        <v>1150</v>
      </c>
      <c r="G990" s="32">
        <v>100</v>
      </c>
      <c r="H990" s="40">
        <v>600</v>
      </c>
      <c r="I990" s="32">
        <v>695</v>
      </c>
      <c r="J990" s="32">
        <v>50</v>
      </c>
      <c r="K990" s="33"/>
      <c r="L990" s="33"/>
      <c r="M990" s="33"/>
      <c r="N990" s="33"/>
      <c r="O990" s="33"/>
      <c r="P990" s="33"/>
      <c r="Q990" s="33"/>
      <c r="R990" s="33"/>
      <c r="S990" s="33"/>
      <c r="T990" s="33"/>
    </row>
    <row r="991" spans="1:20" ht="15.75">
      <c r="A991" s="13">
        <v>72045</v>
      </c>
      <c r="B991" s="41">
        <f t="shared" si="6"/>
        <v>31</v>
      </c>
      <c r="C991" s="32">
        <v>122.58</v>
      </c>
      <c r="D991" s="32">
        <v>297.94099999999997</v>
      </c>
      <c r="E991" s="38">
        <v>729.47900000000004</v>
      </c>
      <c r="F991" s="32">
        <v>1150</v>
      </c>
      <c r="G991" s="32">
        <v>100</v>
      </c>
      <c r="H991" s="40">
        <v>600</v>
      </c>
      <c r="I991" s="32">
        <v>695</v>
      </c>
      <c r="J991" s="32">
        <v>50</v>
      </c>
      <c r="K991" s="33"/>
      <c r="L991" s="33"/>
      <c r="M991" s="33"/>
      <c r="N991" s="33"/>
      <c r="O991" s="33"/>
      <c r="P991" s="33"/>
      <c r="Q991" s="33"/>
      <c r="R991" s="33"/>
      <c r="S991" s="33"/>
      <c r="T991" s="33"/>
    </row>
    <row r="992" spans="1:20" ht="15.75">
      <c r="A992" s="13">
        <v>72075</v>
      </c>
      <c r="B992" s="41">
        <f t="shared" si="6"/>
        <v>30</v>
      </c>
      <c r="C992" s="32">
        <v>141.29300000000001</v>
      </c>
      <c r="D992" s="32">
        <v>267.99299999999999</v>
      </c>
      <c r="E992" s="38">
        <v>829.71400000000006</v>
      </c>
      <c r="F992" s="32">
        <v>1239</v>
      </c>
      <c r="G992" s="32">
        <v>100</v>
      </c>
      <c r="H992" s="40">
        <v>600</v>
      </c>
      <c r="I992" s="32">
        <v>695</v>
      </c>
      <c r="J992" s="32">
        <v>50</v>
      </c>
      <c r="K992" s="33"/>
      <c r="L992" s="33"/>
      <c r="M992" s="33"/>
      <c r="N992" s="33"/>
      <c r="O992" s="33"/>
      <c r="P992" s="33"/>
      <c r="Q992" s="33"/>
      <c r="R992" s="33"/>
      <c r="S992" s="33"/>
      <c r="T992" s="33"/>
    </row>
    <row r="993" spans="1:20" ht="15.75">
      <c r="A993" s="13">
        <v>72106</v>
      </c>
      <c r="B993" s="41">
        <f t="shared" si="6"/>
        <v>31</v>
      </c>
      <c r="C993" s="32">
        <v>194.20500000000001</v>
      </c>
      <c r="D993" s="32">
        <v>267.46600000000001</v>
      </c>
      <c r="E993" s="38">
        <v>812.32899999999995</v>
      </c>
      <c r="F993" s="32">
        <v>1274</v>
      </c>
      <c r="G993" s="32">
        <v>75</v>
      </c>
      <c r="H993" s="40">
        <v>600</v>
      </c>
      <c r="I993" s="32">
        <v>695</v>
      </c>
      <c r="J993" s="32">
        <v>50</v>
      </c>
      <c r="K993" s="33"/>
      <c r="L993" s="33"/>
      <c r="M993" s="33"/>
      <c r="N993" s="33"/>
      <c r="O993" s="33"/>
      <c r="P993" s="33"/>
      <c r="Q993" s="33"/>
      <c r="R993" s="33"/>
      <c r="S993" s="33"/>
      <c r="T993" s="33"/>
    </row>
    <row r="994" spans="1:20" ht="15.75">
      <c r="A994" s="13">
        <v>72136</v>
      </c>
      <c r="B994" s="41">
        <f t="shared" si="6"/>
        <v>30</v>
      </c>
      <c r="C994" s="32">
        <v>194.20500000000001</v>
      </c>
      <c r="D994" s="32">
        <v>267.46600000000001</v>
      </c>
      <c r="E994" s="38">
        <v>812.32899999999995</v>
      </c>
      <c r="F994" s="32">
        <v>1274</v>
      </c>
      <c r="G994" s="32">
        <v>50</v>
      </c>
      <c r="H994" s="40">
        <v>600</v>
      </c>
      <c r="I994" s="32">
        <v>695</v>
      </c>
      <c r="J994" s="32">
        <v>50</v>
      </c>
      <c r="K994" s="33"/>
      <c r="L994" s="33"/>
      <c r="M994" s="33"/>
      <c r="N994" s="33"/>
      <c r="O994" s="33"/>
      <c r="P994" s="33"/>
      <c r="Q994" s="33"/>
      <c r="R994" s="33"/>
      <c r="S994" s="33"/>
      <c r="T994" s="33"/>
    </row>
    <row r="995" spans="1:20" ht="15.75">
      <c r="A995" s="13">
        <v>72167</v>
      </c>
      <c r="B995" s="41">
        <f t="shared" si="6"/>
        <v>31</v>
      </c>
      <c r="C995" s="32">
        <v>194.20500000000001</v>
      </c>
      <c r="D995" s="32">
        <v>267.46600000000001</v>
      </c>
      <c r="E995" s="38">
        <v>812.32899999999995</v>
      </c>
      <c r="F995" s="32">
        <v>1274</v>
      </c>
      <c r="G995" s="32">
        <v>50</v>
      </c>
      <c r="H995" s="40">
        <v>600</v>
      </c>
      <c r="I995" s="32">
        <v>695</v>
      </c>
      <c r="J995" s="32">
        <v>0</v>
      </c>
      <c r="K995" s="33"/>
      <c r="L995" s="33"/>
      <c r="M995" s="33"/>
      <c r="N995" s="33"/>
      <c r="O995" s="33"/>
      <c r="P995" s="33"/>
      <c r="Q995" s="33"/>
      <c r="R995" s="33"/>
      <c r="S995" s="33"/>
      <c r="T995" s="33"/>
    </row>
    <row r="996" spans="1:20" ht="15.75">
      <c r="A996" s="13">
        <v>72198</v>
      </c>
      <c r="B996" s="41">
        <f t="shared" si="6"/>
        <v>31</v>
      </c>
      <c r="C996" s="32">
        <v>194.20500000000001</v>
      </c>
      <c r="D996" s="32">
        <v>267.46600000000001</v>
      </c>
      <c r="E996" s="38">
        <v>812.32899999999995</v>
      </c>
      <c r="F996" s="32">
        <v>1274</v>
      </c>
      <c r="G996" s="32">
        <v>50</v>
      </c>
      <c r="H996" s="40">
        <v>600</v>
      </c>
      <c r="I996" s="32">
        <v>695</v>
      </c>
      <c r="J996" s="32">
        <v>0</v>
      </c>
      <c r="K996" s="33"/>
      <c r="L996" s="33"/>
      <c r="M996" s="33"/>
      <c r="N996" s="33"/>
      <c r="O996" s="33"/>
      <c r="P996" s="33"/>
      <c r="Q996" s="33"/>
      <c r="R996" s="33"/>
      <c r="S996" s="33"/>
      <c r="T996" s="33"/>
    </row>
    <row r="997" spans="1:20" ht="15.75">
      <c r="A997" s="13">
        <v>72228</v>
      </c>
      <c r="B997" s="41">
        <f t="shared" si="6"/>
        <v>30</v>
      </c>
      <c r="C997" s="32">
        <v>194.20500000000001</v>
      </c>
      <c r="D997" s="32">
        <v>267.46600000000001</v>
      </c>
      <c r="E997" s="38">
        <v>812.32899999999995</v>
      </c>
      <c r="F997" s="32">
        <v>1274</v>
      </c>
      <c r="G997" s="32">
        <v>50</v>
      </c>
      <c r="H997" s="40">
        <v>600</v>
      </c>
      <c r="I997" s="32">
        <v>695</v>
      </c>
      <c r="J997" s="32">
        <v>0</v>
      </c>
      <c r="K997" s="33"/>
      <c r="L997" s="33"/>
      <c r="M997" s="33"/>
      <c r="N997" s="33"/>
      <c r="O997" s="33"/>
      <c r="P997" s="33"/>
      <c r="Q997" s="33"/>
      <c r="R997" s="33"/>
      <c r="S997" s="33"/>
      <c r="T997" s="33"/>
    </row>
    <row r="998" spans="1:20" ht="15.75">
      <c r="A998" s="13">
        <v>72259</v>
      </c>
      <c r="B998" s="41">
        <f t="shared" si="6"/>
        <v>31</v>
      </c>
      <c r="C998" s="32">
        <v>131.881</v>
      </c>
      <c r="D998" s="32">
        <v>277.16699999999997</v>
      </c>
      <c r="E998" s="38">
        <v>829.952</v>
      </c>
      <c r="F998" s="32">
        <v>1239</v>
      </c>
      <c r="G998" s="32">
        <v>75</v>
      </c>
      <c r="H998" s="40">
        <v>600</v>
      </c>
      <c r="I998" s="32">
        <v>695</v>
      </c>
      <c r="J998" s="32">
        <v>0</v>
      </c>
      <c r="K998" s="33"/>
      <c r="L998" s="33"/>
      <c r="M998" s="33"/>
      <c r="N998" s="33"/>
      <c r="O998" s="33"/>
      <c r="P998" s="33"/>
      <c r="Q998" s="33"/>
      <c r="R998" s="33"/>
      <c r="S998" s="33"/>
      <c r="T998" s="33"/>
    </row>
    <row r="999" spans="1:20" ht="15.75">
      <c r="A999" s="13">
        <v>72289</v>
      </c>
      <c r="B999" s="41">
        <f t="shared" si="6"/>
        <v>30</v>
      </c>
      <c r="C999" s="32">
        <v>122.58</v>
      </c>
      <c r="D999" s="32">
        <v>297.94099999999997</v>
      </c>
      <c r="E999" s="38">
        <v>729.47900000000004</v>
      </c>
      <c r="F999" s="32">
        <v>1150</v>
      </c>
      <c r="G999" s="32">
        <v>100</v>
      </c>
      <c r="H999" s="40">
        <v>600</v>
      </c>
      <c r="I999" s="32">
        <v>695</v>
      </c>
      <c r="J999" s="32">
        <v>50</v>
      </c>
      <c r="K999" s="33"/>
      <c r="L999" s="33"/>
      <c r="M999" s="33"/>
      <c r="N999" s="33"/>
      <c r="O999" s="33"/>
      <c r="P999" s="33"/>
      <c r="Q999" s="33"/>
      <c r="R999" s="33"/>
      <c r="S999" s="33"/>
      <c r="T999" s="33"/>
    </row>
    <row r="1000" spans="1:20" ht="15.75">
      <c r="A1000" s="13">
        <v>72320</v>
      </c>
      <c r="B1000" s="41">
        <f t="shared" si="6"/>
        <v>31</v>
      </c>
      <c r="C1000" s="32">
        <v>122.58</v>
      </c>
      <c r="D1000" s="32">
        <v>297.94099999999997</v>
      </c>
      <c r="E1000" s="38">
        <v>729.47900000000004</v>
      </c>
      <c r="F1000" s="32">
        <v>1150</v>
      </c>
      <c r="G1000" s="32">
        <v>100</v>
      </c>
      <c r="H1000" s="40">
        <v>600</v>
      </c>
      <c r="I1000" s="32">
        <v>695</v>
      </c>
      <c r="J1000" s="32">
        <v>50</v>
      </c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</row>
    <row r="1001" spans="1:20" ht="15.75">
      <c r="A1001" s="13">
        <v>72351</v>
      </c>
      <c r="B1001" s="41">
        <f t="shared" si="6"/>
        <v>31</v>
      </c>
      <c r="C1001" s="32">
        <v>122.58</v>
      </c>
      <c r="D1001" s="32">
        <v>297.94099999999997</v>
      </c>
      <c r="E1001" s="38">
        <v>729.47900000000004</v>
      </c>
      <c r="F1001" s="32">
        <v>1150</v>
      </c>
      <c r="G1001" s="32">
        <v>100</v>
      </c>
      <c r="H1001" s="40">
        <v>600</v>
      </c>
      <c r="I1001" s="32">
        <v>695</v>
      </c>
      <c r="J1001" s="32">
        <v>50</v>
      </c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</row>
    <row r="1002" spans="1:20" ht="15.75">
      <c r="A1002" s="13">
        <v>72379</v>
      </c>
      <c r="B1002" s="41">
        <f t="shared" si="6"/>
        <v>28</v>
      </c>
      <c r="C1002" s="32">
        <v>122.58</v>
      </c>
      <c r="D1002" s="32">
        <v>297.94099999999997</v>
      </c>
      <c r="E1002" s="38">
        <v>729.47900000000004</v>
      </c>
      <c r="F1002" s="32">
        <v>1150</v>
      </c>
      <c r="G1002" s="32">
        <v>100</v>
      </c>
      <c r="H1002" s="40">
        <v>600</v>
      </c>
      <c r="I1002" s="32">
        <v>695</v>
      </c>
      <c r="J1002" s="32">
        <v>50</v>
      </c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</row>
    <row r="1003" spans="1:20" ht="15.75">
      <c r="A1003" s="13">
        <v>72410</v>
      </c>
      <c r="B1003" s="41">
        <f t="shared" si="6"/>
        <v>31</v>
      </c>
      <c r="C1003" s="32">
        <v>122.58</v>
      </c>
      <c r="D1003" s="32">
        <v>297.94099999999997</v>
      </c>
      <c r="E1003" s="38">
        <v>729.47900000000004</v>
      </c>
      <c r="F1003" s="32">
        <v>1150</v>
      </c>
      <c r="G1003" s="32">
        <v>100</v>
      </c>
      <c r="H1003" s="40">
        <v>600</v>
      </c>
      <c r="I1003" s="32">
        <v>695</v>
      </c>
      <c r="J1003" s="32">
        <v>50</v>
      </c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</row>
    <row r="1004" spans="1:20" ht="15.75">
      <c r="A1004" s="13">
        <v>72440</v>
      </c>
      <c r="B1004" s="41">
        <f t="shared" si="6"/>
        <v>30</v>
      </c>
      <c r="C1004" s="32">
        <v>141.29300000000001</v>
      </c>
      <c r="D1004" s="32">
        <v>267.99299999999999</v>
      </c>
      <c r="E1004" s="38">
        <v>829.71400000000006</v>
      </c>
      <c r="F1004" s="32">
        <v>1239</v>
      </c>
      <c r="G1004" s="32">
        <v>100</v>
      </c>
      <c r="H1004" s="40">
        <v>600</v>
      </c>
      <c r="I1004" s="32">
        <v>695</v>
      </c>
      <c r="J1004" s="32">
        <v>50</v>
      </c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</row>
    <row r="1005" spans="1:20" ht="15.75">
      <c r="A1005" s="13">
        <v>72471</v>
      </c>
      <c r="B1005" s="41">
        <f t="shared" si="6"/>
        <v>31</v>
      </c>
      <c r="C1005" s="32">
        <v>194.20500000000001</v>
      </c>
      <c r="D1005" s="32">
        <v>267.46600000000001</v>
      </c>
      <c r="E1005" s="38">
        <v>812.32899999999995</v>
      </c>
      <c r="F1005" s="32">
        <v>1274</v>
      </c>
      <c r="G1005" s="32">
        <v>75</v>
      </c>
      <c r="H1005" s="40">
        <v>600</v>
      </c>
      <c r="I1005" s="32">
        <v>695</v>
      </c>
      <c r="J1005" s="32">
        <v>50</v>
      </c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</row>
    <row r="1006" spans="1:20" ht="15.75">
      <c r="A1006" s="13">
        <v>72501</v>
      </c>
      <c r="B1006" s="41">
        <f t="shared" si="6"/>
        <v>30</v>
      </c>
      <c r="C1006" s="32">
        <v>194.20500000000001</v>
      </c>
      <c r="D1006" s="32">
        <v>267.46600000000001</v>
      </c>
      <c r="E1006" s="38">
        <v>812.32899999999995</v>
      </c>
      <c r="F1006" s="32">
        <v>1274</v>
      </c>
      <c r="G1006" s="32">
        <v>50</v>
      </c>
      <c r="H1006" s="40">
        <v>600</v>
      </c>
      <c r="I1006" s="32">
        <v>695</v>
      </c>
      <c r="J1006" s="32">
        <v>50</v>
      </c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</row>
    <row r="1007" spans="1:20" ht="15.75">
      <c r="A1007" s="13">
        <v>72532</v>
      </c>
      <c r="B1007" s="41">
        <f t="shared" si="6"/>
        <v>31</v>
      </c>
      <c r="C1007" s="32">
        <v>194.20500000000001</v>
      </c>
      <c r="D1007" s="32">
        <v>267.46600000000001</v>
      </c>
      <c r="E1007" s="38">
        <v>812.32899999999995</v>
      </c>
      <c r="F1007" s="32">
        <v>1274</v>
      </c>
      <c r="G1007" s="32">
        <v>50</v>
      </c>
      <c r="H1007" s="40">
        <v>600</v>
      </c>
      <c r="I1007" s="32">
        <v>695</v>
      </c>
      <c r="J1007" s="32">
        <v>0</v>
      </c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</row>
    <row r="1008" spans="1:20" ht="15.75">
      <c r="A1008" s="13">
        <v>72563</v>
      </c>
      <c r="B1008" s="41">
        <f t="shared" si="6"/>
        <v>31</v>
      </c>
      <c r="C1008" s="32">
        <v>194.20500000000001</v>
      </c>
      <c r="D1008" s="32">
        <v>267.46600000000001</v>
      </c>
      <c r="E1008" s="38">
        <v>812.32899999999995</v>
      </c>
      <c r="F1008" s="32">
        <v>1274</v>
      </c>
      <c r="G1008" s="32">
        <v>50</v>
      </c>
      <c r="H1008" s="40">
        <v>600</v>
      </c>
      <c r="I1008" s="32">
        <v>695</v>
      </c>
      <c r="J1008" s="32">
        <v>0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</row>
    <row r="1009" spans="1:20" ht="15.75">
      <c r="A1009" s="13">
        <v>72593</v>
      </c>
      <c r="B1009" s="41">
        <f t="shared" si="6"/>
        <v>30</v>
      </c>
      <c r="C1009" s="32">
        <v>194.20500000000001</v>
      </c>
      <c r="D1009" s="32">
        <v>267.46600000000001</v>
      </c>
      <c r="E1009" s="38">
        <v>812.32899999999995</v>
      </c>
      <c r="F1009" s="32">
        <v>1274</v>
      </c>
      <c r="G1009" s="32">
        <v>50</v>
      </c>
      <c r="H1009" s="40">
        <v>600</v>
      </c>
      <c r="I1009" s="32">
        <v>695</v>
      </c>
      <c r="J1009" s="32">
        <v>0</v>
      </c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</row>
    <row r="1010" spans="1:20" ht="15.75">
      <c r="A1010" s="13">
        <v>72624</v>
      </c>
      <c r="B1010" s="41">
        <f t="shared" si="6"/>
        <v>31</v>
      </c>
      <c r="C1010" s="32">
        <v>131.881</v>
      </c>
      <c r="D1010" s="32">
        <v>277.16699999999997</v>
      </c>
      <c r="E1010" s="38">
        <v>829.952</v>
      </c>
      <c r="F1010" s="32">
        <v>1239</v>
      </c>
      <c r="G1010" s="32">
        <v>75</v>
      </c>
      <c r="H1010" s="40">
        <v>600</v>
      </c>
      <c r="I1010" s="32">
        <v>695</v>
      </c>
      <c r="J1010" s="32">
        <v>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</row>
    <row r="1011" spans="1:20" ht="15.75">
      <c r="A1011" s="13">
        <v>72654</v>
      </c>
      <c r="B1011" s="41">
        <f t="shared" si="6"/>
        <v>30</v>
      </c>
      <c r="C1011" s="32">
        <v>122.58</v>
      </c>
      <c r="D1011" s="32">
        <v>297.94099999999997</v>
      </c>
      <c r="E1011" s="38">
        <v>729.47900000000004</v>
      </c>
      <c r="F1011" s="32">
        <v>1150</v>
      </c>
      <c r="G1011" s="32">
        <v>100</v>
      </c>
      <c r="H1011" s="40">
        <v>600</v>
      </c>
      <c r="I1011" s="32">
        <v>695</v>
      </c>
      <c r="J1011" s="32">
        <v>50</v>
      </c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</row>
    <row r="1012" spans="1:20" ht="15.75">
      <c r="A1012" s="13">
        <v>72685</v>
      </c>
      <c r="B1012" s="41">
        <f t="shared" si="6"/>
        <v>31</v>
      </c>
      <c r="C1012" s="32">
        <v>122.58</v>
      </c>
      <c r="D1012" s="32">
        <v>297.94099999999997</v>
      </c>
      <c r="E1012" s="38">
        <v>729.47900000000004</v>
      </c>
      <c r="F1012" s="32">
        <v>1150</v>
      </c>
      <c r="G1012" s="32">
        <v>100</v>
      </c>
      <c r="H1012" s="40">
        <v>600</v>
      </c>
      <c r="I1012" s="32">
        <v>695</v>
      </c>
      <c r="J1012" s="32">
        <v>50</v>
      </c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</row>
    <row r="1013" spans="1:20" ht="15.75">
      <c r="A1013" s="13">
        <v>72716</v>
      </c>
      <c r="B1013" s="41">
        <f t="shared" si="6"/>
        <v>31</v>
      </c>
      <c r="C1013" s="32">
        <v>122.58</v>
      </c>
      <c r="D1013" s="32">
        <v>297.94099999999997</v>
      </c>
      <c r="E1013" s="38">
        <v>729.47900000000004</v>
      </c>
      <c r="F1013" s="32">
        <v>1150</v>
      </c>
      <c r="G1013" s="32">
        <v>100</v>
      </c>
      <c r="H1013" s="40">
        <v>600</v>
      </c>
      <c r="I1013" s="32">
        <v>695</v>
      </c>
      <c r="J1013" s="32">
        <v>50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</row>
    <row r="1014" spans="1:20" ht="15.75">
      <c r="A1014" s="13">
        <v>72744</v>
      </c>
      <c r="B1014" s="41">
        <f t="shared" si="6"/>
        <v>28</v>
      </c>
      <c r="C1014" s="32">
        <v>122.58</v>
      </c>
      <c r="D1014" s="32">
        <v>297.94099999999997</v>
      </c>
      <c r="E1014" s="38">
        <v>729.47900000000004</v>
      </c>
      <c r="F1014" s="32">
        <v>1150</v>
      </c>
      <c r="G1014" s="32">
        <v>100</v>
      </c>
      <c r="H1014" s="40">
        <v>600</v>
      </c>
      <c r="I1014" s="32">
        <v>695</v>
      </c>
      <c r="J1014" s="32">
        <v>50</v>
      </c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</row>
    <row r="1015" spans="1:20" ht="15.75">
      <c r="A1015" s="13">
        <v>72775</v>
      </c>
      <c r="B1015" s="41">
        <f t="shared" si="6"/>
        <v>31</v>
      </c>
      <c r="C1015" s="32">
        <v>122.58</v>
      </c>
      <c r="D1015" s="32">
        <v>297.94099999999997</v>
      </c>
      <c r="E1015" s="38">
        <v>729.47900000000004</v>
      </c>
      <c r="F1015" s="32">
        <v>1150</v>
      </c>
      <c r="G1015" s="32">
        <v>100</v>
      </c>
      <c r="H1015" s="40">
        <v>600</v>
      </c>
      <c r="I1015" s="32">
        <v>695</v>
      </c>
      <c r="J1015" s="32">
        <v>50</v>
      </c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</row>
    <row r="1016" spans="1:20" ht="15.75">
      <c r="A1016" s="13">
        <v>72805</v>
      </c>
      <c r="B1016" s="41">
        <f t="shared" si="6"/>
        <v>30</v>
      </c>
      <c r="C1016" s="32">
        <v>141.29300000000001</v>
      </c>
      <c r="D1016" s="32">
        <v>267.99299999999999</v>
      </c>
      <c r="E1016" s="38">
        <v>829.71400000000006</v>
      </c>
      <c r="F1016" s="32">
        <v>1239</v>
      </c>
      <c r="G1016" s="32">
        <v>100</v>
      </c>
      <c r="H1016" s="40">
        <v>600</v>
      </c>
      <c r="I1016" s="32">
        <v>695</v>
      </c>
      <c r="J1016" s="32">
        <v>50</v>
      </c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</row>
    <row r="1017" spans="1:20" ht="15.75">
      <c r="A1017" s="13">
        <v>72836</v>
      </c>
      <c r="B1017" s="41">
        <f t="shared" ref="B1017:B1036" si="7">EOMONTH(A1017,0)-EOMONTH(A1017,-1)</f>
        <v>31</v>
      </c>
      <c r="C1017" s="32">
        <v>194.20500000000001</v>
      </c>
      <c r="D1017" s="32">
        <v>267.46600000000001</v>
      </c>
      <c r="E1017" s="38">
        <v>812.32899999999995</v>
      </c>
      <c r="F1017" s="32">
        <v>1274</v>
      </c>
      <c r="G1017" s="32">
        <v>75</v>
      </c>
      <c r="H1017" s="40">
        <v>600</v>
      </c>
      <c r="I1017" s="32">
        <v>695</v>
      </c>
      <c r="J1017" s="32">
        <v>50</v>
      </c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</row>
    <row r="1018" spans="1:20" ht="15.75">
      <c r="A1018" s="13">
        <v>72866</v>
      </c>
      <c r="B1018" s="41">
        <f t="shared" si="7"/>
        <v>30</v>
      </c>
      <c r="C1018" s="32">
        <v>194.20500000000001</v>
      </c>
      <c r="D1018" s="32">
        <v>267.46600000000001</v>
      </c>
      <c r="E1018" s="38">
        <v>812.32899999999995</v>
      </c>
      <c r="F1018" s="32">
        <v>1274</v>
      </c>
      <c r="G1018" s="32">
        <v>50</v>
      </c>
      <c r="H1018" s="40">
        <v>600</v>
      </c>
      <c r="I1018" s="32">
        <v>695</v>
      </c>
      <c r="J1018" s="32">
        <v>50</v>
      </c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</row>
    <row r="1019" spans="1:20" ht="15.75">
      <c r="A1019" s="13">
        <v>72897</v>
      </c>
      <c r="B1019" s="41">
        <f t="shared" si="7"/>
        <v>31</v>
      </c>
      <c r="C1019" s="32">
        <v>194.20500000000001</v>
      </c>
      <c r="D1019" s="32">
        <v>267.46600000000001</v>
      </c>
      <c r="E1019" s="38">
        <v>812.32899999999995</v>
      </c>
      <c r="F1019" s="32">
        <v>1274</v>
      </c>
      <c r="G1019" s="32">
        <v>50</v>
      </c>
      <c r="H1019" s="40">
        <v>600</v>
      </c>
      <c r="I1019" s="32">
        <v>695</v>
      </c>
      <c r="J1019" s="32">
        <v>0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</row>
    <row r="1020" spans="1:20" ht="15.75">
      <c r="A1020" s="13">
        <v>72928</v>
      </c>
      <c r="B1020" s="41">
        <f t="shared" si="7"/>
        <v>31</v>
      </c>
      <c r="C1020" s="32">
        <v>194.20500000000001</v>
      </c>
      <c r="D1020" s="32">
        <v>267.46600000000001</v>
      </c>
      <c r="E1020" s="38">
        <v>812.32899999999995</v>
      </c>
      <c r="F1020" s="32">
        <v>1274</v>
      </c>
      <c r="G1020" s="32">
        <v>50</v>
      </c>
      <c r="H1020" s="40">
        <v>600</v>
      </c>
      <c r="I1020" s="32">
        <v>695</v>
      </c>
      <c r="J1020" s="32">
        <v>0</v>
      </c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</row>
    <row r="1021" spans="1:20" ht="15.75">
      <c r="A1021" s="13">
        <v>72958</v>
      </c>
      <c r="B1021" s="41">
        <f t="shared" si="7"/>
        <v>30</v>
      </c>
      <c r="C1021" s="32">
        <v>194.20500000000001</v>
      </c>
      <c r="D1021" s="32">
        <v>267.46600000000001</v>
      </c>
      <c r="E1021" s="38">
        <v>812.32899999999995</v>
      </c>
      <c r="F1021" s="32">
        <v>1274</v>
      </c>
      <c r="G1021" s="32">
        <v>50</v>
      </c>
      <c r="H1021" s="40">
        <v>600</v>
      </c>
      <c r="I1021" s="32">
        <v>695</v>
      </c>
      <c r="J1021" s="32">
        <v>0</v>
      </c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</row>
    <row r="1022" spans="1:20" ht="15.75">
      <c r="A1022" s="13">
        <v>72989</v>
      </c>
      <c r="B1022" s="41">
        <f t="shared" si="7"/>
        <v>31</v>
      </c>
      <c r="C1022" s="32">
        <v>131.881</v>
      </c>
      <c r="D1022" s="32">
        <v>277.16699999999997</v>
      </c>
      <c r="E1022" s="38">
        <v>829.952</v>
      </c>
      <c r="F1022" s="32">
        <v>1239</v>
      </c>
      <c r="G1022" s="32">
        <v>75</v>
      </c>
      <c r="H1022" s="40">
        <v>600</v>
      </c>
      <c r="I1022" s="32">
        <v>695</v>
      </c>
      <c r="J1022" s="32">
        <v>0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</row>
    <row r="1023" spans="1:20" ht="15.75">
      <c r="A1023" s="13">
        <v>73019</v>
      </c>
      <c r="B1023" s="41">
        <f t="shared" si="7"/>
        <v>30</v>
      </c>
      <c r="C1023" s="32">
        <v>122.58</v>
      </c>
      <c r="D1023" s="32">
        <v>297.94099999999997</v>
      </c>
      <c r="E1023" s="38">
        <v>729.47900000000004</v>
      </c>
      <c r="F1023" s="32">
        <v>1150</v>
      </c>
      <c r="G1023" s="32">
        <v>100</v>
      </c>
      <c r="H1023" s="40">
        <v>600</v>
      </c>
      <c r="I1023" s="32">
        <v>695</v>
      </c>
      <c r="J1023" s="32">
        <v>50</v>
      </c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</row>
    <row r="1024" spans="1:20" ht="15.75">
      <c r="A1024" s="13">
        <v>73050</v>
      </c>
      <c r="B1024" s="41">
        <f t="shared" si="7"/>
        <v>31</v>
      </c>
      <c r="C1024" s="32">
        <v>122.58</v>
      </c>
      <c r="D1024" s="32">
        <v>297.94099999999997</v>
      </c>
      <c r="E1024" s="38">
        <v>729.47900000000004</v>
      </c>
      <c r="F1024" s="32">
        <v>1150</v>
      </c>
      <c r="G1024" s="32">
        <v>100</v>
      </c>
      <c r="H1024" s="40">
        <v>600</v>
      </c>
      <c r="I1024" s="32">
        <v>695</v>
      </c>
      <c r="J1024" s="32">
        <v>50</v>
      </c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</row>
    <row r="1025" spans="1:20" ht="15.75">
      <c r="A1025" s="13">
        <v>73081</v>
      </c>
      <c r="B1025" s="41">
        <f t="shared" si="7"/>
        <v>31</v>
      </c>
      <c r="C1025" s="32">
        <v>122.58</v>
      </c>
      <c r="D1025" s="32">
        <v>297.94099999999997</v>
      </c>
      <c r="E1025" s="38">
        <v>729.47900000000004</v>
      </c>
      <c r="F1025" s="32">
        <v>1150</v>
      </c>
      <c r="G1025" s="32">
        <v>100</v>
      </c>
      <c r="H1025" s="40">
        <v>600</v>
      </c>
      <c r="I1025" s="32">
        <v>695</v>
      </c>
      <c r="J1025" s="32">
        <v>50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</row>
    <row r="1026" spans="1:20" ht="15.75">
      <c r="A1026" s="13">
        <v>73109</v>
      </c>
      <c r="B1026" s="41">
        <f t="shared" si="7"/>
        <v>28</v>
      </c>
      <c r="C1026" s="32">
        <v>122.58</v>
      </c>
      <c r="D1026" s="32">
        <v>297.94099999999997</v>
      </c>
      <c r="E1026" s="38">
        <v>729.47900000000004</v>
      </c>
      <c r="F1026" s="32">
        <v>1150</v>
      </c>
      <c r="G1026" s="32">
        <v>100</v>
      </c>
      <c r="H1026" s="40">
        <v>600</v>
      </c>
      <c r="I1026" s="32">
        <v>695</v>
      </c>
      <c r="J1026" s="32">
        <v>50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</row>
    <row r="1027" spans="1:20" ht="15.75">
      <c r="A1027" s="13">
        <v>73140</v>
      </c>
      <c r="B1027" s="41">
        <f t="shared" si="7"/>
        <v>31</v>
      </c>
      <c r="C1027" s="32">
        <v>122.58</v>
      </c>
      <c r="D1027" s="32">
        <v>297.94099999999997</v>
      </c>
      <c r="E1027" s="38">
        <v>729.47900000000004</v>
      </c>
      <c r="F1027" s="32">
        <v>1150</v>
      </c>
      <c r="G1027" s="32">
        <v>100</v>
      </c>
      <c r="H1027" s="40">
        <v>600</v>
      </c>
      <c r="I1027" s="32">
        <v>695</v>
      </c>
      <c r="J1027" s="32">
        <v>50</v>
      </c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</row>
    <row r="1028" spans="1:20" ht="15.75">
      <c r="A1028" s="13">
        <v>73170</v>
      </c>
      <c r="B1028" s="41">
        <f t="shared" si="7"/>
        <v>30</v>
      </c>
      <c r="C1028" s="32">
        <v>141.29300000000001</v>
      </c>
      <c r="D1028" s="32">
        <v>267.99299999999999</v>
      </c>
      <c r="E1028" s="38">
        <v>829.71400000000006</v>
      </c>
      <c r="F1028" s="32">
        <v>1239</v>
      </c>
      <c r="G1028" s="32">
        <v>100</v>
      </c>
      <c r="H1028" s="40">
        <v>600</v>
      </c>
      <c r="I1028" s="32">
        <v>695</v>
      </c>
      <c r="J1028" s="32">
        <v>50</v>
      </c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</row>
    <row r="1029" spans="1:20" ht="15.75">
      <c r="A1029" s="13">
        <v>73201</v>
      </c>
      <c r="B1029" s="41">
        <f t="shared" si="7"/>
        <v>31</v>
      </c>
      <c r="C1029" s="32">
        <v>194.20500000000001</v>
      </c>
      <c r="D1029" s="32">
        <v>267.46600000000001</v>
      </c>
      <c r="E1029" s="38">
        <v>812.32899999999995</v>
      </c>
      <c r="F1029" s="32">
        <v>1274</v>
      </c>
      <c r="G1029" s="32">
        <v>75</v>
      </c>
      <c r="H1029" s="40">
        <v>600</v>
      </c>
      <c r="I1029" s="32">
        <v>695</v>
      </c>
      <c r="J1029" s="32">
        <v>50</v>
      </c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</row>
    <row r="1030" spans="1:20" ht="15.75">
      <c r="A1030" s="13">
        <v>73231</v>
      </c>
      <c r="B1030" s="41">
        <f t="shared" si="7"/>
        <v>30</v>
      </c>
      <c r="C1030" s="32">
        <v>194.20500000000001</v>
      </c>
      <c r="D1030" s="32">
        <v>267.46600000000001</v>
      </c>
      <c r="E1030" s="38">
        <v>812.32899999999995</v>
      </c>
      <c r="F1030" s="32">
        <v>1274</v>
      </c>
      <c r="G1030" s="32">
        <v>50</v>
      </c>
      <c r="H1030" s="40">
        <v>600</v>
      </c>
      <c r="I1030" s="32">
        <v>695</v>
      </c>
      <c r="J1030" s="32">
        <v>50</v>
      </c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</row>
    <row r="1031" spans="1:20" ht="15.75">
      <c r="A1031" s="13">
        <v>73262</v>
      </c>
      <c r="B1031" s="41">
        <f t="shared" si="7"/>
        <v>31</v>
      </c>
      <c r="C1031" s="32">
        <v>194.20500000000001</v>
      </c>
      <c r="D1031" s="32">
        <v>267.46600000000001</v>
      </c>
      <c r="E1031" s="38">
        <v>812.32899999999995</v>
      </c>
      <c r="F1031" s="32">
        <v>1274</v>
      </c>
      <c r="G1031" s="32">
        <v>50</v>
      </c>
      <c r="H1031" s="40">
        <v>600</v>
      </c>
      <c r="I1031" s="32">
        <v>695</v>
      </c>
      <c r="J1031" s="32">
        <v>0</v>
      </c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</row>
    <row r="1032" spans="1:20" ht="15.75">
      <c r="A1032" s="13">
        <v>73293</v>
      </c>
      <c r="B1032" s="41">
        <f t="shared" si="7"/>
        <v>31</v>
      </c>
      <c r="C1032" s="32">
        <v>194.20500000000001</v>
      </c>
      <c r="D1032" s="32">
        <v>267.46600000000001</v>
      </c>
      <c r="E1032" s="38">
        <v>812.32899999999995</v>
      </c>
      <c r="F1032" s="32">
        <v>1274</v>
      </c>
      <c r="G1032" s="32">
        <v>50</v>
      </c>
      <c r="H1032" s="40">
        <v>600</v>
      </c>
      <c r="I1032" s="32">
        <v>695</v>
      </c>
      <c r="J1032" s="32">
        <v>0</v>
      </c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</row>
    <row r="1033" spans="1:20" ht="15.75">
      <c r="A1033" s="13">
        <v>73323</v>
      </c>
      <c r="B1033" s="41">
        <f t="shared" si="7"/>
        <v>30</v>
      </c>
      <c r="C1033" s="32">
        <v>194.20500000000001</v>
      </c>
      <c r="D1033" s="32">
        <v>267.46600000000001</v>
      </c>
      <c r="E1033" s="38">
        <v>812.32899999999995</v>
      </c>
      <c r="F1033" s="32">
        <v>1274</v>
      </c>
      <c r="G1033" s="32">
        <v>50</v>
      </c>
      <c r="H1033" s="40">
        <v>600</v>
      </c>
      <c r="I1033" s="32">
        <v>695</v>
      </c>
      <c r="J1033" s="32">
        <v>0</v>
      </c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</row>
    <row r="1034" spans="1:20" ht="15.75">
      <c r="A1034" s="13">
        <v>73354</v>
      </c>
      <c r="B1034" s="41">
        <f t="shared" si="7"/>
        <v>31</v>
      </c>
      <c r="C1034" s="32">
        <v>131.881</v>
      </c>
      <c r="D1034" s="32">
        <v>277.16699999999997</v>
      </c>
      <c r="E1034" s="38">
        <v>829.952</v>
      </c>
      <c r="F1034" s="32">
        <v>1239</v>
      </c>
      <c r="G1034" s="32">
        <v>75</v>
      </c>
      <c r="H1034" s="40">
        <v>600</v>
      </c>
      <c r="I1034" s="32">
        <v>695</v>
      </c>
      <c r="J1034" s="32">
        <v>0</v>
      </c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</row>
    <row r="1035" spans="1:20" ht="15.75">
      <c r="A1035" s="13">
        <v>73384</v>
      </c>
      <c r="B1035" s="41">
        <f t="shared" si="7"/>
        <v>30</v>
      </c>
      <c r="C1035" s="32">
        <v>122.58</v>
      </c>
      <c r="D1035" s="32">
        <v>297.94099999999997</v>
      </c>
      <c r="E1035" s="38">
        <v>729.47900000000004</v>
      </c>
      <c r="F1035" s="32">
        <v>1150</v>
      </c>
      <c r="G1035" s="32">
        <v>100</v>
      </c>
      <c r="H1035" s="40">
        <v>600</v>
      </c>
      <c r="I1035" s="32">
        <v>695</v>
      </c>
      <c r="J1035" s="32">
        <v>50</v>
      </c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</row>
    <row r="1036" spans="1:20" ht="15.75">
      <c r="A1036" s="13">
        <v>73415</v>
      </c>
      <c r="B1036" s="41">
        <f t="shared" si="7"/>
        <v>31</v>
      </c>
      <c r="C1036" s="32">
        <v>122.58</v>
      </c>
      <c r="D1036" s="32">
        <v>297.94099999999997</v>
      </c>
      <c r="E1036" s="38">
        <v>729.47900000000004</v>
      </c>
      <c r="F1036" s="32">
        <v>1150</v>
      </c>
      <c r="G1036" s="32">
        <v>100</v>
      </c>
      <c r="H1036" s="40">
        <v>600</v>
      </c>
      <c r="I1036" s="32">
        <v>695</v>
      </c>
      <c r="J1036" s="32">
        <v>50</v>
      </c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</row>
    <row r="1037" spans="1:20" ht="15">
      <c r="A1037" s="10"/>
      <c r="B1037" s="39"/>
      <c r="C1037" s="32"/>
      <c r="D1037" s="32"/>
      <c r="E1037" s="38"/>
      <c r="F1037" s="32"/>
      <c r="G1037" s="32"/>
      <c r="H1037" s="32"/>
      <c r="I1037" s="32"/>
      <c r="J1037" s="32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</row>
    <row r="1038" spans="1:20" ht="15.75">
      <c r="A1038" s="3">
        <v>2016</v>
      </c>
      <c r="B1038" s="3">
        <f t="shared" ref="B1038:B1069" si="8">DATE(A1038+1,1,1)-DATE(A1038,1,1)</f>
        <v>366</v>
      </c>
      <c r="C1038" s="35">
        <f>AVERAGE(C17:C28)</f>
        <v>154.75825</v>
      </c>
      <c r="D1038" s="35">
        <f>AVERAGE(D17:D28)</f>
        <v>281.0162499999999</v>
      </c>
      <c r="E1038" s="35">
        <f>AVERAGE(E17:E28)</f>
        <v>840.72549999999967</v>
      </c>
      <c r="F1038" s="35">
        <f>AVERAGE(F17:F28)</f>
        <v>1276.5</v>
      </c>
      <c r="G1038" s="35">
        <f>AVERAGE(G17:G28)</f>
        <v>79.166666666666671</v>
      </c>
      <c r="H1038" s="37"/>
      <c r="I1038" s="35">
        <f>AVERAGE(I17:I28)</f>
        <v>695</v>
      </c>
      <c r="J1038" s="35">
        <f>AVERAGE(J17:J28)</f>
        <v>33.333333333333336</v>
      </c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</row>
    <row r="1039" spans="1:20" ht="15">
      <c r="A1039" s="3">
        <v>2017</v>
      </c>
      <c r="B1039" s="3">
        <f t="shared" si="8"/>
        <v>365</v>
      </c>
      <c r="C1039" s="35">
        <f t="shared" ref="C1039:J1039" si="9">AVERAGE(C29:C40)</f>
        <v>154.75825</v>
      </c>
      <c r="D1039" s="35">
        <f t="shared" si="9"/>
        <v>281.0162499999999</v>
      </c>
      <c r="E1039" s="35">
        <f t="shared" si="9"/>
        <v>780.7254999999999</v>
      </c>
      <c r="F1039" s="35">
        <f t="shared" si="9"/>
        <v>1216.5</v>
      </c>
      <c r="G1039" s="35">
        <f t="shared" si="9"/>
        <v>79.166666666666671</v>
      </c>
      <c r="H1039" s="36">
        <f t="shared" si="9"/>
        <v>400</v>
      </c>
      <c r="I1039" s="35">
        <f t="shared" si="9"/>
        <v>695</v>
      </c>
      <c r="J1039" s="35">
        <f t="shared" si="9"/>
        <v>33.333333333333336</v>
      </c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</row>
    <row r="1040" spans="1:20" ht="15">
      <c r="A1040" s="3">
        <v>2018</v>
      </c>
      <c r="B1040" s="3">
        <f t="shared" si="8"/>
        <v>365</v>
      </c>
      <c r="C1040" s="35">
        <f t="shared" ref="C1040:J1040" si="10">AVERAGE(C41:C52)</f>
        <v>154.75825</v>
      </c>
      <c r="D1040" s="35">
        <f t="shared" si="10"/>
        <v>281.0162499999999</v>
      </c>
      <c r="E1040" s="35">
        <f t="shared" si="10"/>
        <v>780.7254999999999</v>
      </c>
      <c r="F1040" s="35">
        <f t="shared" si="10"/>
        <v>1216.5</v>
      </c>
      <c r="G1040" s="35">
        <f t="shared" si="10"/>
        <v>79.166666666666671</v>
      </c>
      <c r="H1040" s="36">
        <f t="shared" si="10"/>
        <v>400</v>
      </c>
      <c r="I1040" s="35">
        <f t="shared" si="10"/>
        <v>695</v>
      </c>
      <c r="J1040" s="35">
        <f t="shared" si="10"/>
        <v>33.333333333333336</v>
      </c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</row>
    <row r="1041" spans="1:20" ht="15">
      <c r="A1041" s="3">
        <v>2019</v>
      </c>
      <c r="B1041" s="3">
        <f t="shared" si="8"/>
        <v>365</v>
      </c>
      <c r="C1041" s="35">
        <f t="shared" ref="C1041:J1041" si="11">AVERAGE(C53:C64)</f>
        <v>154.75825</v>
      </c>
      <c r="D1041" s="35">
        <f t="shared" si="11"/>
        <v>281.0162499999999</v>
      </c>
      <c r="E1041" s="35">
        <f t="shared" si="11"/>
        <v>780.7254999999999</v>
      </c>
      <c r="F1041" s="35">
        <f t="shared" si="11"/>
        <v>1216.5</v>
      </c>
      <c r="G1041" s="35">
        <f t="shared" si="11"/>
        <v>79.166666666666671</v>
      </c>
      <c r="H1041" s="36">
        <f t="shared" si="11"/>
        <v>400</v>
      </c>
      <c r="I1041" s="35">
        <f t="shared" si="11"/>
        <v>695</v>
      </c>
      <c r="J1041" s="35">
        <f t="shared" si="11"/>
        <v>33.333333333333336</v>
      </c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</row>
    <row r="1042" spans="1:20" ht="15">
      <c r="A1042" s="3">
        <v>2020</v>
      </c>
      <c r="B1042" s="3">
        <f t="shared" si="8"/>
        <v>366</v>
      </c>
      <c r="C1042" s="35">
        <f t="shared" ref="C1042:J1042" si="12">AVERAGE(C65:C76)</f>
        <v>154.75825</v>
      </c>
      <c r="D1042" s="35">
        <f t="shared" si="12"/>
        <v>281.0162499999999</v>
      </c>
      <c r="E1042" s="35">
        <f t="shared" si="12"/>
        <v>780.7254999999999</v>
      </c>
      <c r="F1042" s="35">
        <f t="shared" si="12"/>
        <v>1216.5</v>
      </c>
      <c r="G1042" s="35">
        <f t="shared" si="12"/>
        <v>79.166666666666671</v>
      </c>
      <c r="H1042" s="36">
        <f t="shared" si="12"/>
        <v>533.33333333333337</v>
      </c>
      <c r="I1042" s="35">
        <f t="shared" si="12"/>
        <v>695</v>
      </c>
      <c r="J1042" s="35">
        <f t="shared" si="12"/>
        <v>33.333333333333336</v>
      </c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</row>
    <row r="1043" spans="1:20" ht="15">
      <c r="A1043" s="3">
        <v>2021</v>
      </c>
      <c r="B1043" s="3">
        <f t="shared" si="8"/>
        <v>365</v>
      </c>
      <c r="C1043" s="35">
        <f t="shared" ref="C1043:J1043" si="13">AVERAGE(C77:C88)</f>
        <v>154.75825</v>
      </c>
      <c r="D1043" s="35">
        <f t="shared" si="13"/>
        <v>281.0162499999999</v>
      </c>
      <c r="E1043" s="35">
        <f t="shared" si="13"/>
        <v>780.7254999999999</v>
      </c>
      <c r="F1043" s="35">
        <f t="shared" si="13"/>
        <v>1216.5</v>
      </c>
      <c r="G1043" s="35">
        <f t="shared" si="13"/>
        <v>79.166666666666671</v>
      </c>
      <c r="H1043" s="36">
        <f t="shared" si="13"/>
        <v>600</v>
      </c>
      <c r="I1043" s="35">
        <f t="shared" si="13"/>
        <v>695</v>
      </c>
      <c r="J1043" s="35">
        <f t="shared" si="13"/>
        <v>33.333333333333336</v>
      </c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</row>
    <row r="1044" spans="1:20" ht="15">
      <c r="A1044" s="3">
        <v>2022</v>
      </c>
      <c r="B1044" s="3">
        <f t="shared" si="8"/>
        <v>365</v>
      </c>
      <c r="C1044" s="35">
        <f t="shared" ref="C1044:J1044" si="14">AVERAGE(C89:C100)</f>
        <v>154.75825</v>
      </c>
      <c r="D1044" s="35">
        <f t="shared" si="14"/>
        <v>281.0162499999999</v>
      </c>
      <c r="E1044" s="35">
        <f t="shared" si="14"/>
        <v>780.7254999999999</v>
      </c>
      <c r="F1044" s="35">
        <f t="shared" si="14"/>
        <v>1216.5</v>
      </c>
      <c r="G1044" s="35">
        <f t="shared" si="14"/>
        <v>79.166666666666671</v>
      </c>
      <c r="H1044" s="36">
        <f t="shared" si="14"/>
        <v>600</v>
      </c>
      <c r="I1044" s="35">
        <f t="shared" si="14"/>
        <v>695</v>
      </c>
      <c r="J1044" s="35">
        <f t="shared" si="14"/>
        <v>33.333333333333336</v>
      </c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</row>
    <row r="1045" spans="1:20" ht="15">
      <c r="A1045" s="3">
        <v>2023</v>
      </c>
      <c r="B1045" s="3">
        <f t="shared" si="8"/>
        <v>365</v>
      </c>
      <c r="C1045" s="35">
        <f t="shared" ref="C1045:J1045" si="15">AVERAGE(C101:C112)</f>
        <v>154.75825</v>
      </c>
      <c r="D1045" s="35">
        <f t="shared" si="15"/>
        <v>281.0162499999999</v>
      </c>
      <c r="E1045" s="35">
        <f t="shared" si="15"/>
        <v>780.7254999999999</v>
      </c>
      <c r="F1045" s="35">
        <f t="shared" si="15"/>
        <v>1216.5</v>
      </c>
      <c r="G1045" s="35">
        <f t="shared" si="15"/>
        <v>79.166666666666671</v>
      </c>
      <c r="H1045" s="36">
        <f t="shared" si="15"/>
        <v>600</v>
      </c>
      <c r="I1045" s="35">
        <f t="shared" si="15"/>
        <v>695</v>
      </c>
      <c r="J1045" s="35">
        <f t="shared" si="15"/>
        <v>33.333333333333336</v>
      </c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</row>
    <row r="1046" spans="1:20" ht="15">
      <c r="A1046" s="3">
        <v>2024</v>
      </c>
      <c r="B1046" s="3">
        <f t="shared" si="8"/>
        <v>366</v>
      </c>
      <c r="C1046" s="35">
        <f t="shared" ref="C1046:J1046" si="16">AVERAGE(C113:C124)</f>
        <v>154.75825</v>
      </c>
      <c r="D1046" s="35">
        <f t="shared" si="16"/>
        <v>281.0162499999999</v>
      </c>
      <c r="E1046" s="35">
        <f t="shared" si="16"/>
        <v>780.7254999999999</v>
      </c>
      <c r="F1046" s="35">
        <f t="shared" si="16"/>
        <v>1216.5</v>
      </c>
      <c r="G1046" s="35">
        <f t="shared" si="16"/>
        <v>79.166666666666671</v>
      </c>
      <c r="H1046" s="36">
        <f t="shared" si="16"/>
        <v>600</v>
      </c>
      <c r="I1046" s="35">
        <f t="shared" si="16"/>
        <v>695</v>
      </c>
      <c r="J1046" s="35">
        <f t="shared" si="16"/>
        <v>33.333333333333336</v>
      </c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</row>
    <row r="1047" spans="1:20" ht="15">
      <c r="A1047" s="3">
        <v>2025</v>
      </c>
      <c r="B1047" s="3">
        <f t="shared" si="8"/>
        <v>365</v>
      </c>
      <c r="C1047" s="35">
        <f t="shared" ref="C1047:J1047" si="17">AVERAGE(C125:C136)</f>
        <v>154.75825</v>
      </c>
      <c r="D1047" s="35">
        <f t="shared" si="17"/>
        <v>281.0162499999999</v>
      </c>
      <c r="E1047" s="35">
        <f t="shared" si="17"/>
        <v>780.7254999999999</v>
      </c>
      <c r="F1047" s="35">
        <f t="shared" si="17"/>
        <v>1216.5</v>
      </c>
      <c r="G1047" s="35">
        <f t="shared" si="17"/>
        <v>79.166666666666671</v>
      </c>
      <c r="H1047" s="36">
        <f t="shared" si="17"/>
        <v>600</v>
      </c>
      <c r="I1047" s="35">
        <f t="shared" si="17"/>
        <v>695</v>
      </c>
      <c r="J1047" s="35">
        <f t="shared" si="17"/>
        <v>33.333333333333336</v>
      </c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</row>
    <row r="1048" spans="1:20" ht="15">
      <c r="A1048" s="3">
        <v>2026</v>
      </c>
      <c r="B1048" s="3">
        <f t="shared" si="8"/>
        <v>365</v>
      </c>
      <c r="C1048" s="35">
        <f t="shared" ref="C1048:J1048" si="18">AVERAGE(C137:C148)</f>
        <v>154.75825</v>
      </c>
      <c r="D1048" s="35">
        <f t="shared" si="18"/>
        <v>281.0162499999999</v>
      </c>
      <c r="E1048" s="35">
        <f t="shared" si="18"/>
        <v>780.7254999999999</v>
      </c>
      <c r="F1048" s="35">
        <f t="shared" si="18"/>
        <v>1216.5</v>
      </c>
      <c r="G1048" s="35">
        <f t="shared" si="18"/>
        <v>79.166666666666671</v>
      </c>
      <c r="H1048" s="36">
        <f t="shared" si="18"/>
        <v>600</v>
      </c>
      <c r="I1048" s="35">
        <f t="shared" si="18"/>
        <v>695</v>
      </c>
      <c r="J1048" s="35">
        <f t="shared" si="18"/>
        <v>33.333333333333336</v>
      </c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</row>
    <row r="1049" spans="1:20" ht="15">
      <c r="A1049" s="3">
        <v>2027</v>
      </c>
      <c r="B1049" s="3">
        <f t="shared" si="8"/>
        <v>365</v>
      </c>
      <c r="C1049" s="35">
        <f t="shared" ref="C1049:J1049" si="19">AVERAGE(C149:C160)</f>
        <v>154.75825</v>
      </c>
      <c r="D1049" s="35">
        <f t="shared" si="19"/>
        <v>281.0162499999999</v>
      </c>
      <c r="E1049" s="35">
        <f t="shared" si="19"/>
        <v>780.7254999999999</v>
      </c>
      <c r="F1049" s="35">
        <f t="shared" si="19"/>
        <v>1216.5</v>
      </c>
      <c r="G1049" s="35">
        <f t="shared" si="19"/>
        <v>79.166666666666671</v>
      </c>
      <c r="H1049" s="36">
        <f t="shared" si="19"/>
        <v>600</v>
      </c>
      <c r="I1049" s="35">
        <f t="shared" si="19"/>
        <v>695</v>
      </c>
      <c r="J1049" s="35">
        <f t="shared" si="19"/>
        <v>33.333333333333336</v>
      </c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</row>
    <row r="1050" spans="1:20" ht="15">
      <c r="A1050" s="3">
        <v>2028</v>
      </c>
      <c r="B1050" s="3">
        <f t="shared" si="8"/>
        <v>366</v>
      </c>
      <c r="C1050" s="35">
        <f t="shared" ref="C1050:J1050" si="20">AVERAGE(C161:C172)</f>
        <v>154.75825</v>
      </c>
      <c r="D1050" s="35">
        <f t="shared" si="20"/>
        <v>281.0162499999999</v>
      </c>
      <c r="E1050" s="35">
        <f t="shared" si="20"/>
        <v>780.7254999999999</v>
      </c>
      <c r="F1050" s="35">
        <f t="shared" si="20"/>
        <v>1216.5</v>
      </c>
      <c r="G1050" s="35">
        <f t="shared" si="20"/>
        <v>79.166666666666671</v>
      </c>
      <c r="H1050" s="36">
        <f t="shared" si="20"/>
        <v>600</v>
      </c>
      <c r="I1050" s="35">
        <f t="shared" si="20"/>
        <v>695</v>
      </c>
      <c r="J1050" s="35">
        <f t="shared" si="20"/>
        <v>33.333333333333336</v>
      </c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</row>
    <row r="1051" spans="1:20" ht="15">
      <c r="A1051" s="3">
        <v>2029</v>
      </c>
      <c r="B1051" s="3">
        <f t="shared" si="8"/>
        <v>365</v>
      </c>
      <c r="C1051" s="35">
        <f t="shared" ref="C1051:J1051" si="21">AVERAGE(C173:C184)</f>
        <v>154.75825</v>
      </c>
      <c r="D1051" s="35">
        <f t="shared" si="21"/>
        <v>281.0162499999999</v>
      </c>
      <c r="E1051" s="35">
        <f t="shared" si="21"/>
        <v>780.7254999999999</v>
      </c>
      <c r="F1051" s="35">
        <f t="shared" si="21"/>
        <v>1216.5</v>
      </c>
      <c r="G1051" s="35">
        <f t="shared" si="21"/>
        <v>79.166666666666671</v>
      </c>
      <c r="H1051" s="36">
        <f t="shared" si="21"/>
        <v>600</v>
      </c>
      <c r="I1051" s="35">
        <f t="shared" si="21"/>
        <v>695</v>
      </c>
      <c r="J1051" s="35">
        <f t="shared" si="21"/>
        <v>33.333333333333336</v>
      </c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</row>
    <row r="1052" spans="1:20" ht="15">
      <c r="A1052" s="3">
        <v>2030</v>
      </c>
      <c r="B1052" s="3">
        <f t="shared" si="8"/>
        <v>365</v>
      </c>
      <c r="C1052" s="35">
        <f t="shared" ref="C1052:J1052" si="22">AVERAGE(C185:C196)</f>
        <v>154.75825</v>
      </c>
      <c r="D1052" s="35">
        <f t="shared" si="22"/>
        <v>281.0162499999999</v>
      </c>
      <c r="E1052" s="35">
        <f t="shared" si="22"/>
        <v>780.7254999999999</v>
      </c>
      <c r="F1052" s="35">
        <f t="shared" si="22"/>
        <v>1216.5</v>
      </c>
      <c r="G1052" s="35">
        <f t="shared" si="22"/>
        <v>79.166666666666671</v>
      </c>
      <c r="H1052" s="36">
        <f t="shared" si="22"/>
        <v>600</v>
      </c>
      <c r="I1052" s="35">
        <f t="shared" si="22"/>
        <v>695</v>
      </c>
      <c r="J1052" s="35">
        <f t="shared" si="22"/>
        <v>33.333333333333336</v>
      </c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</row>
    <row r="1053" spans="1:20" ht="15">
      <c r="A1053" s="3">
        <v>2031</v>
      </c>
      <c r="B1053" s="3">
        <f t="shared" si="8"/>
        <v>365</v>
      </c>
      <c r="C1053" s="35">
        <f t="shared" ref="C1053:J1053" si="23">AVERAGE(C197:C208)</f>
        <v>154.75825</v>
      </c>
      <c r="D1053" s="35">
        <f t="shared" si="23"/>
        <v>281.0162499999999</v>
      </c>
      <c r="E1053" s="35">
        <f t="shared" si="23"/>
        <v>780.7254999999999</v>
      </c>
      <c r="F1053" s="35">
        <f t="shared" si="23"/>
        <v>1216.5</v>
      </c>
      <c r="G1053" s="35">
        <f t="shared" si="23"/>
        <v>79.166666666666671</v>
      </c>
      <c r="H1053" s="36">
        <f t="shared" si="23"/>
        <v>600</v>
      </c>
      <c r="I1053" s="35">
        <f t="shared" si="23"/>
        <v>695</v>
      </c>
      <c r="J1053" s="35">
        <f t="shared" si="23"/>
        <v>33.333333333333336</v>
      </c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</row>
    <row r="1054" spans="1:20" ht="15">
      <c r="A1054" s="3">
        <v>2032</v>
      </c>
      <c r="B1054" s="3">
        <f t="shared" si="8"/>
        <v>366</v>
      </c>
      <c r="C1054" s="35">
        <f t="shared" ref="C1054:J1054" si="24">AVERAGE(C209:C220)</f>
        <v>154.75825</v>
      </c>
      <c r="D1054" s="35">
        <f t="shared" si="24"/>
        <v>281.0162499999999</v>
      </c>
      <c r="E1054" s="35">
        <f t="shared" si="24"/>
        <v>780.7254999999999</v>
      </c>
      <c r="F1054" s="35">
        <f t="shared" si="24"/>
        <v>1216.5</v>
      </c>
      <c r="G1054" s="35">
        <f t="shared" si="24"/>
        <v>79.166666666666671</v>
      </c>
      <c r="H1054" s="36">
        <f t="shared" si="24"/>
        <v>600</v>
      </c>
      <c r="I1054" s="35">
        <f t="shared" si="24"/>
        <v>695</v>
      </c>
      <c r="J1054" s="35">
        <f t="shared" si="24"/>
        <v>33.333333333333336</v>
      </c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</row>
    <row r="1055" spans="1:20" ht="15">
      <c r="A1055" s="3">
        <v>2033</v>
      </c>
      <c r="B1055" s="3">
        <f t="shared" si="8"/>
        <v>365</v>
      </c>
      <c r="C1055" s="35">
        <f t="shared" ref="C1055:J1055" si="25">AVERAGE(C221:C232)</f>
        <v>154.75825</v>
      </c>
      <c r="D1055" s="35">
        <f t="shared" si="25"/>
        <v>281.0162499999999</v>
      </c>
      <c r="E1055" s="35">
        <f t="shared" si="25"/>
        <v>780.7254999999999</v>
      </c>
      <c r="F1055" s="35">
        <f t="shared" si="25"/>
        <v>1216.5</v>
      </c>
      <c r="G1055" s="35">
        <f t="shared" si="25"/>
        <v>79.166666666666671</v>
      </c>
      <c r="H1055" s="36">
        <f t="shared" si="25"/>
        <v>600</v>
      </c>
      <c r="I1055" s="35">
        <f t="shared" si="25"/>
        <v>695</v>
      </c>
      <c r="J1055" s="35">
        <f t="shared" si="25"/>
        <v>33.333333333333336</v>
      </c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</row>
    <row r="1056" spans="1:20" ht="15">
      <c r="A1056" s="3">
        <v>2034</v>
      </c>
      <c r="B1056" s="3">
        <f t="shared" si="8"/>
        <v>365</v>
      </c>
      <c r="C1056" s="35">
        <f t="shared" ref="C1056:J1056" si="26">AVERAGE(C233:C244)</f>
        <v>154.75825</v>
      </c>
      <c r="D1056" s="35">
        <f t="shared" si="26"/>
        <v>281.0162499999999</v>
      </c>
      <c r="E1056" s="35">
        <f t="shared" si="26"/>
        <v>780.7254999999999</v>
      </c>
      <c r="F1056" s="35">
        <f t="shared" si="26"/>
        <v>1216.5</v>
      </c>
      <c r="G1056" s="35">
        <f t="shared" si="26"/>
        <v>79.166666666666671</v>
      </c>
      <c r="H1056" s="36">
        <f t="shared" si="26"/>
        <v>600</v>
      </c>
      <c r="I1056" s="35">
        <f t="shared" si="26"/>
        <v>695</v>
      </c>
      <c r="J1056" s="35">
        <f t="shared" si="26"/>
        <v>33.333333333333336</v>
      </c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</row>
    <row r="1057" spans="1:20" ht="15">
      <c r="A1057" s="3">
        <v>2035</v>
      </c>
      <c r="B1057" s="3">
        <f t="shared" si="8"/>
        <v>365</v>
      </c>
      <c r="C1057" s="35">
        <f t="shared" ref="C1057:J1057" si="27">AVERAGE(C245:C256)</f>
        <v>154.75825</v>
      </c>
      <c r="D1057" s="35">
        <f t="shared" si="27"/>
        <v>281.0162499999999</v>
      </c>
      <c r="E1057" s="35">
        <f t="shared" si="27"/>
        <v>780.7254999999999</v>
      </c>
      <c r="F1057" s="35">
        <f t="shared" si="27"/>
        <v>1216.5</v>
      </c>
      <c r="G1057" s="35">
        <f t="shared" si="27"/>
        <v>79.166666666666671</v>
      </c>
      <c r="H1057" s="36">
        <f t="shared" si="27"/>
        <v>600</v>
      </c>
      <c r="I1057" s="35">
        <f t="shared" si="27"/>
        <v>695</v>
      </c>
      <c r="J1057" s="35">
        <f t="shared" si="27"/>
        <v>33.333333333333336</v>
      </c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</row>
    <row r="1058" spans="1:20" ht="15">
      <c r="A1058" s="3">
        <v>2036</v>
      </c>
      <c r="B1058" s="3">
        <f t="shared" si="8"/>
        <v>366</v>
      </c>
      <c r="C1058" s="35">
        <f t="shared" ref="C1058:J1058" si="28">AVERAGE(C257:C268)</f>
        <v>154.75825</v>
      </c>
      <c r="D1058" s="35">
        <f t="shared" si="28"/>
        <v>281.0162499999999</v>
      </c>
      <c r="E1058" s="35">
        <f t="shared" si="28"/>
        <v>780.7254999999999</v>
      </c>
      <c r="F1058" s="35">
        <f t="shared" si="28"/>
        <v>1216.5</v>
      </c>
      <c r="G1058" s="35">
        <f t="shared" si="28"/>
        <v>79.166666666666671</v>
      </c>
      <c r="H1058" s="36">
        <f t="shared" si="28"/>
        <v>600</v>
      </c>
      <c r="I1058" s="35">
        <f t="shared" si="28"/>
        <v>695</v>
      </c>
      <c r="J1058" s="35">
        <f t="shared" si="28"/>
        <v>33.333333333333336</v>
      </c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</row>
    <row r="1059" spans="1:20" ht="15">
      <c r="A1059" s="3">
        <v>2037</v>
      </c>
      <c r="B1059" s="3">
        <f t="shared" si="8"/>
        <v>365</v>
      </c>
      <c r="C1059" s="35">
        <f t="shared" ref="C1059:J1059" si="29">AVERAGE(C269:C280)</f>
        <v>154.75825</v>
      </c>
      <c r="D1059" s="35">
        <f t="shared" si="29"/>
        <v>281.0162499999999</v>
      </c>
      <c r="E1059" s="35">
        <f t="shared" si="29"/>
        <v>780.7254999999999</v>
      </c>
      <c r="F1059" s="35">
        <f t="shared" si="29"/>
        <v>1216.5</v>
      </c>
      <c r="G1059" s="35">
        <f t="shared" si="29"/>
        <v>79.166666666666671</v>
      </c>
      <c r="H1059" s="36">
        <f t="shared" si="29"/>
        <v>600</v>
      </c>
      <c r="I1059" s="35">
        <f t="shared" si="29"/>
        <v>695</v>
      </c>
      <c r="J1059" s="35">
        <f t="shared" si="29"/>
        <v>33.333333333333336</v>
      </c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</row>
    <row r="1060" spans="1:20" ht="15">
      <c r="A1060" s="3">
        <f t="shared" ref="A1060:A1091" si="30">A1059+1</f>
        <v>2038</v>
      </c>
      <c r="B1060" s="3">
        <f t="shared" si="8"/>
        <v>365</v>
      </c>
      <c r="C1060" s="32">
        <f t="shared" ref="C1060:J1060" si="31">AVERAGE(C281:C292)</f>
        <v>154.75825</v>
      </c>
      <c r="D1060" s="32">
        <f t="shared" si="31"/>
        <v>281.0162499999999</v>
      </c>
      <c r="E1060" s="32">
        <f t="shared" si="31"/>
        <v>780.7254999999999</v>
      </c>
      <c r="F1060" s="32">
        <f t="shared" si="31"/>
        <v>1216.5</v>
      </c>
      <c r="G1060" s="32">
        <f t="shared" si="31"/>
        <v>79.166666666666671</v>
      </c>
      <c r="H1060" s="34">
        <f t="shared" si="31"/>
        <v>600</v>
      </c>
      <c r="I1060" s="32">
        <f t="shared" si="31"/>
        <v>695</v>
      </c>
      <c r="J1060" s="32">
        <f t="shared" si="31"/>
        <v>33.333333333333336</v>
      </c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</row>
    <row r="1061" spans="1:20" ht="15">
      <c r="A1061" s="3">
        <f t="shared" si="30"/>
        <v>2039</v>
      </c>
      <c r="B1061" s="3">
        <f t="shared" si="8"/>
        <v>365</v>
      </c>
      <c r="C1061" s="32">
        <f t="shared" ref="C1061:J1061" si="32">AVERAGE(C293:C304)</f>
        <v>154.75825</v>
      </c>
      <c r="D1061" s="32">
        <f t="shared" si="32"/>
        <v>281.0162499999999</v>
      </c>
      <c r="E1061" s="32">
        <f t="shared" si="32"/>
        <v>780.7254999999999</v>
      </c>
      <c r="F1061" s="32">
        <f t="shared" si="32"/>
        <v>1216.5</v>
      </c>
      <c r="G1061" s="32">
        <f t="shared" si="32"/>
        <v>79.166666666666671</v>
      </c>
      <c r="H1061" s="34">
        <f t="shared" si="32"/>
        <v>600</v>
      </c>
      <c r="I1061" s="32">
        <f t="shared" si="32"/>
        <v>695</v>
      </c>
      <c r="J1061" s="32">
        <f t="shared" si="32"/>
        <v>33.333333333333336</v>
      </c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</row>
    <row r="1062" spans="1:20" ht="15">
      <c r="A1062" s="3">
        <f t="shared" si="30"/>
        <v>2040</v>
      </c>
      <c r="B1062" s="3">
        <f t="shared" si="8"/>
        <v>366</v>
      </c>
      <c r="C1062" s="32">
        <f t="shared" ref="C1062:J1062" si="33">AVERAGE(C305:C316)</f>
        <v>154.75825</v>
      </c>
      <c r="D1062" s="32">
        <f t="shared" si="33"/>
        <v>281.0162499999999</v>
      </c>
      <c r="E1062" s="32">
        <f t="shared" si="33"/>
        <v>780.7254999999999</v>
      </c>
      <c r="F1062" s="32">
        <f t="shared" si="33"/>
        <v>1216.5</v>
      </c>
      <c r="G1062" s="32">
        <f t="shared" si="33"/>
        <v>79.166666666666671</v>
      </c>
      <c r="H1062" s="34">
        <f t="shared" si="33"/>
        <v>600</v>
      </c>
      <c r="I1062" s="32">
        <f t="shared" si="33"/>
        <v>695</v>
      </c>
      <c r="J1062" s="32">
        <f t="shared" si="33"/>
        <v>33.333333333333336</v>
      </c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</row>
    <row r="1063" spans="1:20" ht="15">
      <c r="A1063" s="3">
        <f t="shared" si="30"/>
        <v>2041</v>
      </c>
      <c r="B1063" s="3">
        <f t="shared" si="8"/>
        <v>365</v>
      </c>
      <c r="C1063" s="32">
        <f t="shared" ref="C1063:J1063" si="34">AVERAGE(C317:C328)</f>
        <v>154.75825</v>
      </c>
      <c r="D1063" s="32">
        <f t="shared" si="34"/>
        <v>281.0162499999999</v>
      </c>
      <c r="E1063" s="32">
        <f t="shared" si="34"/>
        <v>780.7254999999999</v>
      </c>
      <c r="F1063" s="32">
        <f t="shared" si="34"/>
        <v>1216.5</v>
      </c>
      <c r="G1063" s="32">
        <f t="shared" si="34"/>
        <v>79.166666666666671</v>
      </c>
      <c r="H1063" s="34">
        <f t="shared" si="34"/>
        <v>600</v>
      </c>
      <c r="I1063" s="32">
        <f t="shared" si="34"/>
        <v>695</v>
      </c>
      <c r="J1063" s="32">
        <f t="shared" si="34"/>
        <v>33.333333333333336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</row>
    <row r="1064" spans="1:20" ht="15">
      <c r="A1064" s="3">
        <f t="shared" si="30"/>
        <v>2042</v>
      </c>
      <c r="B1064" s="3">
        <f t="shared" si="8"/>
        <v>365</v>
      </c>
      <c r="C1064" s="32">
        <f t="shared" ref="C1064:J1064" si="35">AVERAGE(C329:C340)</f>
        <v>154.75825</v>
      </c>
      <c r="D1064" s="32">
        <f t="shared" si="35"/>
        <v>281.0162499999999</v>
      </c>
      <c r="E1064" s="32">
        <f t="shared" si="35"/>
        <v>780.7254999999999</v>
      </c>
      <c r="F1064" s="32">
        <f t="shared" si="35"/>
        <v>1216.5</v>
      </c>
      <c r="G1064" s="32">
        <f t="shared" si="35"/>
        <v>79.166666666666671</v>
      </c>
      <c r="H1064" s="34">
        <f t="shared" si="35"/>
        <v>600</v>
      </c>
      <c r="I1064" s="32">
        <f t="shared" si="35"/>
        <v>695</v>
      </c>
      <c r="J1064" s="32">
        <f t="shared" si="35"/>
        <v>33.333333333333336</v>
      </c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</row>
    <row r="1065" spans="1:20" ht="15">
      <c r="A1065" s="3">
        <f t="shared" si="30"/>
        <v>2043</v>
      </c>
      <c r="B1065" s="3">
        <f t="shared" si="8"/>
        <v>365</v>
      </c>
      <c r="C1065" s="32">
        <f t="shared" ref="C1065:J1065" si="36">AVERAGE(C341:C352)</f>
        <v>154.75825</v>
      </c>
      <c r="D1065" s="32">
        <f t="shared" si="36"/>
        <v>281.0162499999999</v>
      </c>
      <c r="E1065" s="32">
        <f t="shared" si="36"/>
        <v>780.7254999999999</v>
      </c>
      <c r="F1065" s="32">
        <f t="shared" si="36"/>
        <v>1216.5</v>
      </c>
      <c r="G1065" s="32">
        <f t="shared" si="36"/>
        <v>79.166666666666671</v>
      </c>
      <c r="H1065" s="34">
        <f t="shared" si="36"/>
        <v>600</v>
      </c>
      <c r="I1065" s="32">
        <f t="shared" si="36"/>
        <v>695</v>
      </c>
      <c r="J1065" s="32">
        <f t="shared" si="36"/>
        <v>33.333333333333336</v>
      </c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</row>
    <row r="1066" spans="1:20" ht="15">
      <c r="A1066" s="3">
        <f t="shared" si="30"/>
        <v>2044</v>
      </c>
      <c r="B1066" s="3">
        <f t="shared" si="8"/>
        <v>366</v>
      </c>
      <c r="C1066" s="32">
        <f t="shared" ref="C1066:J1066" si="37">AVERAGE(C353:C364)</f>
        <v>154.75825</v>
      </c>
      <c r="D1066" s="32">
        <f t="shared" si="37"/>
        <v>281.0162499999999</v>
      </c>
      <c r="E1066" s="32">
        <f t="shared" si="37"/>
        <v>780.7254999999999</v>
      </c>
      <c r="F1066" s="32">
        <f t="shared" si="37"/>
        <v>1216.5</v>
      </c>
      <c r="G1066" s="32">
        <f t="shared" si="37"/>
        <v>79.166666666666671</v>
      </c>
      <c r="H1066" s="34">
        <f t="shared" si="37"/>
        <v>600</v>
      </c>
      <c r="I1066" s="32">
        <f t="shared" si="37"/>
        <v>695</v>
      </c>
      <c r="J1066" s="32">
        <f t="shared" si="37"/>
        <v>33.333333333333336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</row>
    <row r="1067" spans="1:20" ht="15">
      <c r="A1067" s="3">
        <f t="shared" si="30"/>
        <v>2045</v>
      </c>
      <c r="B1067" s="3">
        <f t="shared" si="8"/>
        <v>365</v>
      </c>
      <c r="C1067" s="32">
        <f t="shared" ref="C1067:J1067" si="38">AVERAGE(C365:C376)</f>
        <v>154.75825</v>
      </c>
      <c r="D1067" s="32">
        <f t="shared" si="38"/>
        <v>281.0162499999999</v>
      </c>
      <c r="E1067" s="32">
        <f t="shared" si="38"/>
        <v>780.7254999999999</v>
      </c>
      <c r="F1067" s="32">
        <f t="shared" si="38"/>
        <v>1216.5</v>
      </c>
      <c r="G1067" s="32">
        <f t="shared" si="38"/>
        <v>79.166666666666671</v>
      </c>
      <c r="H1067" s="34">
        <f t="shared" si="38"/>
        <v>600</v>
      </c>
      <c r="I1067" s="32">
        <f t="shared" si="38"/>
        <v>695</v>
      </c>
      <c r="J1067" s="32">
        <f t="shared" si="38"/>
        <v>33.333333333333336</v>
      </c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</row>
    <row r="1068" spans="1:20" ht="15">
      <c r="A1068" s="3">
        <f t="shared" si="30"/>
        <v>2046</v>
      </c>
      <c r="B1068" s="3">
        <f t="shared" si="8"/>
        <v>365</v>
      </c>
      <c r="C1068" s="32">
        <f t="shared" ref="C1068:J1068" si="39">AVERAGE(C377:C388)</f>
        <v>154.75825</v>
      </c>
      <c r="D1068" s="32">
        <f t="shared" si="39"/>
        <v>281.0162499999999</v>
      </c>
      <c r="E1068" s="32">
        <f t="shared" si="39"/>
        <v>780.7254999999999</v>
      </c>
      <c r="F1068" s="32">
        <f t="shared" si="39"/>
        <v>1216.5</v>
      </c>
      <c r="G1068" s="32">
        <f t="shared" si="39"/>
        <v>79.166666666666671</v>
      </c>
      <c r="H1068" s="34">
        <f t="shared" si="39"/>
        <v>600</v>
      </c>
      <c r="I1068" s="32">
        <f t="shared" si="39"/>
        <v>695</v>
      </c>
      <c r="J1068" s="32">
        <f t="shared" si="39"/>
        <v>33.333333333333336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</row>
    <row r="1069" spans="1:20" ht="15">
      <c r="A1069" s="3">
        <f t="shared" si="30"/>
        <v>2047</v>
      </c>
      <c r="B1069" s="3">
        <f t="shared" si="8"/>
        <v>365</v>
      </c>
      <c r="C1069" s="32">
        <f t="shared" ref="C1069:J1069" si="40">AVERAGE(C389:C400)</f>
        <v>154.75825</v>
      </c>
      <c r="D1069" s="32">
        <f t="shared" si="40"/>
        <v>281.0162499999999</v>
      </c>
      <c r="E1069" s="32">
        <f t="shared" si="40"/>
        <v>780.7254999999999</v>
      </c>
      <c r="F1069" s="32">
        <f t="shared" si="40"/>
        <v>1216.5</v>
      </c>
      <c r="G1069" s="32">
        <f t="shared" si="40"/>
        <v>79.166666666666671</v>
      </c>
      <c r="H1069" s="34">
        <f t="shared" si="40"/>
        <v>600</v>
      </c>
      <c r="I1069" s="32">
        <f t="shared" si="40"/>
        <v>695</v>
      </c>
      <c r="J1069" s="32">
        <f t="shared" si="40"/>
        <v>33.333333333333336</v>
      </c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</row>
    <row r="1070" spans="1:20" ht="15">
      <c r="A1070" s="3">
        <f t="shared" si="30"/>
        <v>2048</v>
      </c>
      <c r="B1070" s="3">
        <f t="shared" ref="B1070:B1101" si="41">DATE(A1070+1,1,1)-DATE(A1070,1,1)</f>
        <v>366</v>
      </c>
      <c r="C1070" s="32">
        <f t="shared" ref="C1070:J1070" si="42">AVERAGE(C401:C412)</f>
        <v>154.75825</v>
      </c>
      <c r="D1070" s="32">
        <f t="shared" si="42"/>
        <v>281.0162499999999</v>
      </c>
      <c r="E1070" s="32">
        <f t="shared" si="42"/>
        <v>780.7254999999999</v>
      </c>
      <c r="F1070" s="32">
        <f t="shared" si="42"/>
        <v>1216.5</v>
      </c>
      <c r="G1070" s="32">
        <f t="shared" si="42"/>
        <v>79.166666666666671</v>
      </c>
      <c r="H1070" s="34">
        <f t="shared" si="42"/>
        <v>600</v>
      </c>
      <c r="I1070" s="32">
        <f t="shared" si="42"/>
        <v>695</v>
      </c>
      <c r="J1070" s="32">
        <f t="shared" si="42"/>
        <v>33.333333333333336</v>
      </c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</row>
    <row r="1071" spans="1:20" ht="15">
      <c r="A1071" s="3">
        <f t="shared" si="30"/>
        <v>2049</v>
      </c>
      <c r="B1071" s="3">
        <f t="shared" si="41"/>
        <v>365</v>
      </c>
      <c r="C1071" s="32">
        <f t="shared" ref="C1071:J1071" si="43">AVERAGE(C413:C424)</f>
        <v>154.75825</v>
      </c>
      <c r="D1071" s="32">
        <f t="shared" si="43"/>
        <v>281.0162499999999</v>
      </c>
      <c r="E1071" s="32">
        <f t="shared" si="43"/>
        <v>780.7254999999999</v>
      </c>
      <c r="F1071" s="32">
        <f t="shared" si="43"/>
        <v>1216.5</v>
      </c>
      <c r="G1071" s="32">
        <f t="shared" si="43"/>
        <v>79.166666666666671</v>
      </c>
      <c r="H1071" s="34">
        <f t="shared" si="43"/>
        <v>600</v>
      </c>
      <c r="I1071" s="32">
        <f t="shared" si="43"/>
        <v>695</v>
      </c>
      <c r="J1071" s="32">
        <f t="shared" si="43"/>
        <v>33.333333333333336</v>
      </c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</row>
    <row r="1072" spans="1:20" ht="15">
      <c r="A1072" s="3">
        <f t="shared" si="30"/>
        <v>2050</v>
      </c>
      <c r="B1072" s="3">
        <f t="shared" si="41"/>
        <v>365</v>
      </c>
      <c r="C1072" s="32">
        <f t="shared" ref="C1072:J1072" si="44">AVERAGE(C425:C436)</f>
        <v>154.75825</v>
      </c>
      <c r="D1072" s="32">
        <f t="shared" si="44"/>
        <v>281.0162499999999</v>
      </c>
      <c r="E1072" s="32">
        <f t="shared" si="44"/>
        <v>780.7254999999999</v>
      </c>
      <c r="F1072" s="32">
        <f t="shared" si="44"/>
        <v>1216.5</v>
      </c>
      <c r="G1072" s="32">
        <f t="shared" si="44"/>
        <v>79.166666666666671</v>
      </c>
      <c r="H1072" s="34">
        <f t="shared" si="44"/>
        <v>600</v>
      </c>
      <c r="I1072" s="32">
        <f t="shared" si="44"/>
        <v>695</v>
      </c>
      <c r="J1072" s="32">
        <f t="shared" si="44"/>
        <v>33.333333333333336</v>
      </c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</row>
    <row r="1073" spans="1:20" ht="15">
      <c r="A1073" s="3">
        <f t="shared" si="30"/>
        <v>2051</v>
      </c>
      <c r="B1073" s="3">
        <f t="shared" si="41"/>
        <v>365</v>
      </c>
      <c r="C1073" s="32">
        <f t="shared" ref="C1073:J1073" si="45">AVERAGE(C437:C448)</f>
        <v>154.75825</v>
      </c>
      <c r="D1073" s="32">
        <f t="shared" si="45"/>
        <v>281.0162499999999</v>
      </c>
      <c r="E1073" s="32">
        <f t="shared" si="45"/>
        <v>780.7254999999999</v>
      </c>
      <c r="F1073" s="32">
        <f t="shared" si="45"/>
        <v>1216.5</v>
      </c>
      <c r="G1073" s="32">
        <f t="shared" si="45"/>
        <v>79.166666666666671</v>
      </c>
      <c r="H1073" s="34">
        <f t="shared" si="45"/>
        <v>600</v>
      </c>
      <c r="I1073" s="32">
        <f t="shared" si="45"/>
        <v>695</v>
      </c>
      <c r="J1073" s="32">
        <f t="shared" si="45"/>
        <v>33.333333333333336</v>
      </c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</row>
    <row r="1074" spans="1:20" ht="15">
      <c r="A1074" s="3">
        <f t="shared" si="30"/>
        <v>2052</v>
      </c>
      <c r="B1074" s="3">
        <f t="shared" si="41"/>
        <v>366</v>
      </c>
      <c r="C1074" s="32">
        <f t="shared" ref="C1074:J1074" si="46">AVERAGE(C449:C460)</f>
        <v>154.75825</v>
      </c>
      <c r="D1074" s="32">
        <f t="shared" si="46"/>
        <v>281.0162499999999</v>
      </c>
      <c r="E1074" s="32">
        <f t="shared" si="46"/>
        <v>780.7254999999999</v>
      </c>
      <c r="F1074" s="32">
        <f t="shared" si="46"/>
        <v>1216.5</v>
      </c>
      <c r="G1074" s="32">
        <f t="shared" si="46"/>
        <v>79.166666666666671</v>
      </c>
      <c r="H1074" s="34">
        <f t="shared" si="46"/>
        <v>600</v>
      </c>
      <c r="I1074" s="32">
        <f t="shared" si="46"/>
        <v>695</v>
      </c>
      <c r="J1074" s="32">
        <f t="shared" si="46"/>
        <v>33.333333333333336</v>
      </c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</row>
    <row r="1075" spans="1:20" ht="15">
      <c r="A1075" s="3">
        <f t="shared" si="30"/>
        <v>2053</v>
      </c>
      <c r="B1075" s="3">
        <f t="shared" si="41"/>
        <v>365</v>
      </c>
      <c r="C1075" s="32">
        <f t="shared" ref="C1075:J1075" si="47">AVERAGE(C461:C472)</f>
        <v>154.75825</v>
      </c>
      <c r="D1075" s="32">
        <f t="shared" si="47"/>
        <v>281.0162499999999</v>
      </c>
      <c r="E1075" s="32">
        <f t="shared" si="47"/>
        <v>780.7254999999999</v>
      </c>
      <c r="F1075" s="32">
        <f t="shared" si="47"/>
        <v>1216.5</v>
      </c>
      <c r="G1075" s="32">
        <f t="shared" si="47"/>
        <v>79.166666666666671</v>
      </c>
      <c r="H1075" s="34">
        <f t="shared" si="47"/>
        <v>600</v>
      </c>
      <c r="I1075" s="32">
        <f t="shared" si="47"/>
        <v>695</v>
      </c>
      <c r="J1075" s="32">
        <f t="shared" si="47"/>
        <v>33.333333333333336</v>
      </c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</row>
    <row r="1076" spans="1:20" ht="15">
      <c r="A1076" s="3">
        <f t="shared" si="30"/>
        <v>2054</v>
      </c>
      <c r="B1076" s="3">
        <f t="shared" si="41"/>
        <v>365</v>
      </c>
      <c r="C1076" s="32">
        <f t="shared" ref="C1076:J1083" si="48">AVERAGE(C473:C484)</f>
        <v>154.75825</v>
      </c>
      <c r="D1076" s="32">
        <f t="shared" si="48"/>
        <v>281.0162499999999</v>
      </c>
      <c r="E1076" s="32">
        <f t="shared" si="48"/>
        <v>780.7254999999999</v>
      </c>
      <c r="F1076" s="32">
        <f t="shared" si="48"/>
        <v>1216.5</v>
      </c>
      <c r="G1076" s="32">
        <f t="shared" si="48"/>
        <v>79.166666666666671</v>
      </c>
      <c r="H1076" s="34">
        <f t="shared" si="48"/>
        <v>600</v>
      </c>
      <c r="I1076" s="32">
        <f t="shared" si="48"/>
        <v>695</v>
      </c>
      <c r="J1076" s="32">
        <f t="shared" si="48"/>
        <v>33.333333333333336</v>
      </c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</row>
    <row r="1077" spans="1:20" ht="15">
      <c r="A1077" s="3">
        <f t="shared" si="30"/>
        <v>2055</v>
      </c>
      <c r="B1077" s="3">
        <f t="shared" si="41"/>
        <v>365</v>
      </c>
      <c r="C1077" s="32">
        <f t="shared" si="48"/>
        <v>154.75825</v>
      </c>
      <c r="D1077" s="32">
        <f t="shared" si="48"/>
        <v>281.0162499999999</v>
      </c>
      <c r="E1077" s="32">
        <f t="shared" si="48"/>
        <v>780.7254999999999</v>
      </c>
      <c r="F1077" s="32">
        <f t="shared" si="48"/>
        <v>1216.5</v>
      </c>
      <c r="G1077" s="32">
        <f t="shared" si="48"/>
        <v>79.166666666666671</v>
      </c>
      <c r="H1077" s="34">
        <f t="shared" si="48"/>
        <v>600</v>
      </c>
      <c r="I1077" s="32">
        <f t="shared" si="48"/>
        <v>695</v>
      </c>
      <c r="J1077" s="32">
        <f t="shared" si="48"/>
        <v>33.333333333333336</v>
      </c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</row>
    <row r="1078" spans="1:20" ht="15">
      <c r="A1078" s="3">
        <f t="shared" si="30"/>
        <v>2056</v>
      </c>
      <c r="B1078" s="3">
        <f t="shared" si="41"/>
        <v>366</v>
      </c>
      <c r="C1078" s="32">
        <f t="shared" si="48"/>
        <v>154.75824999999998</v>
      </c>
      <c r="D1078" s="32">
        <f t="shared" si="48"/>
        <v>281.0162499999999</v>
      </c>
      <c r="E1078" s="32">
        <f t="shared" si="48"/>
        <v>780.7254999999999</v>
      </c>
      <c r="F1078" s="32">
        <f t="shared" si="48"/>
        <v>1216.5</v>
      </c>
      <c r="G1078" s="32">
        <f t="shared" si="48"/>
        <v>79.166666666666671</v>
      </c>
      <c r="H1078" s="34">
        <f t="shared" si="48"/>
        <v>600</v>
      </c>
      <c r="I1078" s="32">
        <f t="shared" si="48"/>
        <v>695</v>
      </c>
      <c r="J1078" s="32">
        <f t="shared" si="48"/>
        <v>33.333333333333336</v>
      </c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</row>
    <row r="1079" spans="1:20" ht="15">
      <c r="A1079" s="3">
        <f t="shared" si="30"/>
        <v>2057</v>
      </c>
      <c r="B1079" s="3">
        <f t="shared" si="41"/>
        <v>365</v>
      </c>
      <c r="C1079" s="32">
        <f t="shared" si="48"/>
        <v>154.75825</v>
      </c>
      <c r="D1079" s="32">
        <f t="shared" si="48"/>
        <v>281.0162499999999</v>
      </c>
      <c r="E1079" s="32">
        <f t="shared" si="48"/>
        <v>780.72550000000001</v>
      </c>
      <c r="F1079" s="32">
        <f t="shared" si="48"/>
        <v>1216.5</v>
      </c>
      <c r="G1079" s="32">
        <f t="shared" si="48"/>
        <v>79.166666666666671</v>
      </c>
      <c r="H1079" s="34">
        <f t="shared" si="48"/>
        <v>600</v>
      </c>
      <c r="I1079" s="32">
        <f t="shared" si="48"/>
        <v>695</v>
      </c>
      <c r="J1079" s="32">
        <f t="shared" si="48"/>
        <v>33.333333333333336</v>
      </c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</row>
    <row r="1080" spans="1:20" ht="15">
      <c r="A1080" s="3">
        <f t="shared" si="30"/>
        <v>2058</v>
      </c>
      <c r="B1080" s="3">
        <f t="shared" si="41"/>
        <v>365</v>
      </c>
      <c r="C1080" s="32">
        <f t="shared" si="48"/>
        <v>154.75824999999998</v>
      </c>
      <c r="D1080" s="32">
        <f t="shared" si="48"/>
        <v>281.01624999999996</v>
      </c>
      <c r="E1080" s="32">
        <f t="shared" si="48"/>
        <v>780.72550000000001</v>
      </c>
      <c r="F1080" s="32">
        <f t="shared" si="48"/>
        <v>1216.5</v>
      </c>
      <c r="G1080" s="32">
        <f t="shared" si="48"/>
        <v>79.166666666666671</v>
      </c>
      <c r="H1080" s="34">
        <f t="shared" si="48"/>
        <v>600</v>
      </c>
      <c r="I1080" s="32">
        <f t="shared" si="48"/>
        <v>695</v>
      </c>
      <c r="J1080" s="32">
        <f t="shared" si="48"/>
        <v>33.333333333333336</v>
      </c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</row>
    <row r="1081" spans="1:20" ht="15">
      <c r="A1081" s="3">
        <f t="shared" si="30"/>
        <v>2059</v>
      </c>
      <c r="B1081" s="3">
        <f t="shared" si="41"/>
        <v>365</v>
      </c>
      <c r="C1081" s="32">
        <f t="shared" si="48"/>
        <v>154.75824999999998</v>
      </c>
      <c r="D1081" s="32">
        <f t="shared" si="48"/>
        <v>281.01624999999996</v>
      </c>
      <c r="E1081" s="32">
        <f t="shared" si="48"/>
        <v>780.72550000000012</v>
      </c>
      <c r="F1081" s="32">
        <f t="shared" si="48"/>
        <v>1216.5</v>
      </c>
      <c r="G1081" s="32">
        <f t="shared" si="48"/>
        <v>79.166666666666671</v>
      </c>
      <c r="H1081" s="34">
        <f t="shared" si="48"/>
        <v>600</v>
      </c>
      <c r="I1081" s="32">
        <f t="shared" si="48"/>
        <v>695</v>
      </c>
      <c r="J1081" s="32">
        <f t="shared" si="48"/>
        <v>33.333333333333336</v>
      </c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</row>
    <row r="1082" spans="1:20" ht="15">
      <c r="A1082" s="3">
        <f t="shared" si="30"/>
        <v>2060</v>
      </c>
      <c r="B1082" s="3">
        <f t="shared" si="41"/>
        <v>366</v>
      </c>
      <c r="C1082" s="32">
        <f t="shared" si="48"/>
        <v>154.75824999999998</v>
      </c>
      <c r="D1082" s="32">
        <f t="shared" si="48"/>
        <v>281.01624999999996</v>
      </c>
      <c r="E1082" s="32">
        <f t="shared" si="48"/>
        <v>780.72550000000012</v>
      </c>
      <c r="F1082" s="32">
        <f t="shared" si="48"/>
        <v>1216.5</v>
      </c>
      <c r="G1082" s="32">
        <f t="shared" si="48"/>
        <v>79.166666666666671</v>
      </c>
      <c r="H1082" s="34">
        <f t="shared" si="48"/>
        <v>600</v>
      </c>
      <c r="I1082" s="32">
        <f t="shared" si="48"/>
        <v>695</v>
      </c>
      <c r="J1082" s="32">
        <f t="shared" si="48"/>
        <v>33.333333333333336</v>
      </c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</row>
    <row r="1083" spans="1:20" ht="15">
      <c r="A1083" s="3">
        <f t="shared" si="30"/>
        <v>2061</v>
      </c>
      <c r="B1083" s="3">
        <f t="shared" si="41"/>
        <v>365</v>
      </c>
      <c r="C1083" s="32">
        <f t="shared" si="48"/>
        <v>154.75825</v>
      </c>
      <c r="D1083" s="32">
        <f t="shared" si="48"/>
        <v>281.01624999999996</v>
      </c>
      <c r="E1083" s="32">
        <f t="shared" si="48"/>
        <v>780.72550000000001</v>
      </c>
      <c r="F1083" s="32">
        <f t="shared" si="48"/>
        <v>1216.5</v>
      </c>
      <c r="G1083" s="32">
        <f t="shared" si="48"/>
        <v>79.166666666666671</v>
      </c>
      <c r="H1083" s="34">
        <f t="shared" si="48"/>
        <v>600</v>
      </c>
      <c r="I1083" s="32">
        <f t="shared" si="48"/>
        <v>695</v>
      </c>
      <c r="J1083" s="32">
        <f t="shared" si="48"/>
        <v>33.333333333333336</v>
      </c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</row>
    <row r="1084" spans="1:20" ht="15">
      <c r="A1084" s="3">
        <f t="shared" si="30"/>
        <v>2062</v>
      </c>
      <c r="B1084" s="3">
        <f t="shared" si="41"/>
        <v>365</v>
      </c>
      <c r="C1084" s="32">
        <f t="shared" ref="C1084:J1093" ca="1" si="49">AVERAGE(OFFSET(C$569,($A1084-$A$1084)*12,0,12,1))</f>
        <v>154.75825</v>
      </c>
      <c r="D1084" s="32">
        <f t="shared" ca="1" si="49"/>
        <v>281.0162499999999</v>
      </c>
      <c r="E1084" s="32">
        <f t="shared" ca="1" si="49"/>
        <v>780.7254999999999</v>
      </c>
      <c r="F1084" s="32">
        <f t="shared" ca="1" si="49"/>
        <v>1216.5</v>
      </c>
      <c r="G1084" s="32">
        <f t="shared" ca="1" si="49"/>
        <v>79.166666666666671</v>
      </c>
      <c r="H1084" s="32">
        <f t="shared" ca="1" si="49"/>
        <v>600</v>
      </c>
      <c r="I1084" s="32">
        <f t="shared" ca="1" si="49"/>
        <v>695</v>
      </c>
      <c r="J1084" s="32">
        <f t="shared" ca="1" si="49"/>
        <v>33.333333333333336</v>
      </c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</row>
    <row r="1085" spans="1:20" ht="15">
      <c r="A1085" s="3">
        <f t="shared" si="30"/>
        <v>2063</v>
      </c>
      <c r="B1085" s="3">
        <f t="shared" si="41"/>
        <v>365</v>
      </c>
      <c r="C1085" s="32">
        <f t="shared" ca="1" si="49"/>
        <v>154.75825</v>
      </c>
      <c r="D1085" s="32">
        <f t="shared" ca="1" si="49"/>
        <v>281.0162499999999</v>
      </c>
      <c r="E1085" s="32">
        <f t="shared" ca="1" si="49"/>
        <v>780.7254999999999</v>
      </c>
      <c r="F1085" s="32">
        <f t="shared" ca="1" si="49"/>
        <v>1216.5</v>
      </c>
      <c r="G1085" s="32">
        <f t="shared" ca="1" si="49"/>
        <v>79.166666666666671</v>
      </c>
      <c r="H1085" s="32">
        <f t="shared" ca="1" si="49"/>
        <v>600</v>
      </c>
      <c r="I1085" s="32">
        <f t="shared" ca="1" si="49"/>
        <v>695</v>
      </c>
      <c r="J1085" s="32">
        <f t="shared" ca="1" si="49"/>
        <v>33.333333333333336</v>
      </c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</row>
    <row r="1086" spans="1:20" ht="15">
      <c r="A1086" s="3">
        <f t="shared" si="30"/>
        <v>2064</v>
      </c>
      <c r="B1086" s="3">
        <f t="shared" si="41"/>
        <v>366</v>
      </c>
      <c r="C1086" s="32">
        <f t="shared" ca="1" si="49"/>
        <v>154.75825</v>
      </c>
      <c r="D1086" s="32">
        <f t="shared" ca="1" si="49"/>
        <v>281.0162499999999</v>
      </c>
      <c r="E1086" s="32">
        <f t="shared" ca="1" si="49"/>
        <v>780.7254999999999</v>
      </c>
      <c r="F1086" s="32">
        <f t="shared" ca="1" si="49"/>
        <v>1216.5</v>
      </c>
      <c r="G1086" s="32">
        <f t="shared" ca="1" si="49"/>
        <v>79.166666666666671</v>
      </c>
      <c r="H1086" s="32">
        <f t="shared" ca="1" si="49"/>
        <v>600</v>
      </c>
      <c r="I1086" s="32">
        <f t="shared" ca="1" si="49"/>
        <v>695</v>
      </c>
      <c r="J1086" s="32">
        <f t="shared" ca="1" si="49"/>
        <v>33.333333333333336</v>
      </c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</row>
    <row r="1087" spans="1:20" ht="15">
      <c r="A1087" s="3">
        <f t="shared" si="30"/>
        <v>2065</v>
      </c>
      <c r="B1087" s="3">
        <f t="shared" si="41"/>
        <v>365</v>
      </c>
      <c r="C1087" s="32">
        <f t="shared" ca="1" si="49"/>
        <v>154.75825</v>
      </c>
      <c r="D1087" s="32">
        <f t="shared" ca="1" si="49"/>
        <v>281.0162499999999</v>
      </c>
      <c r="E1087" s="32">
        <f t="shared" ca="1" si="49"/>
        <v>780.7254999999999</v>
      </c>
      <c r="F1087" s="32">
        <f t="shared" ca="1" si="49"/>
        <v>1216.5</v>
      </c>
      <c r="G1087" s="32">
        <f t="shared" ca="1" si="49"/>
        <v>79.166666666666671</v>
      </c>
      <c r="H1087" s="32">
        <f t="shared" ca="1" si="49"/>
        <v>600</v>
      </c>
      <c r="I1087" s="32">
        <f t="shared" ca="1" si="49"/>
        <v>695</v>
      </c>
      <c r="J1087" s="32">
        <f t="shared" ca="1" si="49"/>
        <v>33.333333333333336</v>
      </c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</row>
    <row r="1088" spans="1:20" ht="15">
      <c r="A1088" s="3">
        <f t="shared" si="30"/>
        <v>2066</v>
      </c>
      <c r="B1088" s="3">
        <f t="shared" si="41"/>
        <v>365</v>
      </c>
      <c r="C1088" s="32">
        <f t="shared" ca="1" si="49"/>
        <v>154.75825</v>
      </c>
      <c r="D1088" s="32">
        <f t="shared" ca="1" si="49"/>
        <v>281.0162499999999</v>
      </c>
      <c r="E1088" s="32">
        <f t="shared" ca="1" si="49"/>
        <v>780.7254999999999</v>
      </c>
      <c r="F1088" s="32">
        <f t="shared" ca="1" si="49"/>
        <v>1216.5</v>
      </c>
      <c r="G1088" s="32">
        <f t="shared" ca="1" si="49"/>
        <v>79.166666666666671</v>
      </c>
      <c r="H1088" s="32">
        <f t="shared" ca="1" si="49"/>
        <v>600</v>
      </c>
      <c r="I1088" s="32">
        <f t="shared" ca="1" si="49"/>
        <v>695</v>
      </c>
      <c r="J1088" s="32">
        <f t="shared" ca="1" si="49"/>
        <v>33.333333333333336</v>
      </c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</row>
    <row r="1089" spans="1:20" ht="15">
      <c r="A1089" s="3">
        <f t="shared" si="30"/>
        <v>2067</v>
      </c>
      <c r="B1089" s="3">
        <f t="shared" si="41"/>
        <v>365</v>
      </c>
      <c r="C1089" s="32">
        <f t="shared" ca="1" si="49"/>
        <v>154.75825</v>
      </c>
      <c r="D1089" s="32">
        <f t="shared" ca="1" si="49"/>
        <v>281.0162499999999</v>
      </c>
      <c r="E1089" s="32">
        <f t="shared" ca="1" si="49"/>
        <v>780.7254999999999</v>
      </c>
      <c r="F1089" s="32">
        <f t="shared" ca="1" si="49"/>
        <v>1216.5</v>
      </c>
      <c r="G1089" s="32">
        <f t="shared" ca="1" si="49"/>
        <v>79.166666666666671</v>
      </c>
      <c r="H1089" s="32">
        <f t="shared" ca="1" si="49"/>
        <v>600</v>
      </c>
      <c r="I1089" s="32">
        <f t="shared" ca="1" si="49"/>
        <v>695</v>
      </c>
      <c r="J1089" s="32">
        <f t="shared" ca="1" si="49"/>
        <v>33.333333333333336</v>
      </c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</row>
    <row r="1090" spans="1:20" ht="15">
      <c r="A1090" s="3">
        <f t="shared" si="30"/>
        <v>2068</v>
      </c>
      <c r="B1090" s="3">
        <f t="shared" si="41"/>
        <v>366</v>
      </c>
      <c r="C1090" s="32">
        <f t="shared" ca="1" si="49"/>
        <v>154.75825</v>
      </c>
      <c r="D1090" s="32">
        <f t="shared" ca="1" si="49"/>
        <v>281.0162499999999</v>
      </c>
      <c r="E1090" s="32">
        <f t="shared" ca="1" si="49"/>
        <v>780.7254999999999</v>
      </c>
      <c r="F1090" s="32">
        <f t="shared" ca="1" si="49"/>
        <v>1216.5</v>
      </c>
      <c r="G1090" s="32">
        <f t="shared" ca="1" si="49"/>
        <v>79.166666666666671</v>
      </c>
      <c r="H1090" s="32">
        <f t="shared" ca="1" si="49"/>
        <v>600</v>
      </c>
      <c r="I1090" s="32">
        <f t="shared" ca="1" si="49"/>
        <v>695</v>
      </c>
      <c r="J1090" s="32">
        <f t="shared" ca="1" si="49"/>
        <v>33.333333333333336</v>
      </c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</row>
    <row r="1091" spans="1:20" ht="15">
      <c r="A1091" s="3">
        <f t="shared" si="30"/>
        <v>2069</v>
      </c>
      <c r="B1091" s="3">
        <f t="shared" si="41"/>
        <v>365</v>
      </c>
      <c r="C1091" s="32">
        <f t="shared" ca="1" si="49"/>
        <v>154.75825</v>
      </c>
      <c r="D1091" s="32">
        <f t="shared" ca="1" si="49"/>
        <v>281.0162499999999</v>
      </c>
      <c r="E1091" s="32">
        <f t="shared" ca="1" si="49"/>
        <v>780.7254999999999</v>
      </c>
      <c r="F1091" s="32">
        <f t="shared" ca="1" si="49"/>
        <v>1216.5</v>
      </c>
      <c r="G1091" s="32">
        <f t="shared" ca="1" si="49"/>
        <v>79.166666666666671</v>
      </c>
      <c r="H1091" s="32">
        <f t="shared" ca="1" si="49"/>
        <v>600</v>
      </c>
      <c r="I1091" s="32">
        <f t="shared" ca="1" si="49"/>
        <v>695</v>
      </c>
      <c r="J1091" s="32">
        <f t="shared" ca="1" si="49"/>
        <v>33.333333333333336</v>
      </c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</row>
    <row r="1092" spans="1:20" ht="15">
      <c r="A1092" s="3">
        <f t="shared" ref="A1092:A1122" si="50">A1091+1</f>
        <v>2070</v>
      </c>
      <c r="B1092" s="3">
        <f t="shared" si="41"/>
        <v>365</v>
      </c>
      <c r="C1092" s="32">
        <f t="shared" ca="1" si="49"/>
        <v>154.75825</v>
      </c>
      <c r="D1092" s="32">
        <f t="shared" ca="1" si="49"/>
        <v>281.0162499999999</v>
      </c>
      <c r="E1092" s="32">
        <f t="shared" ca="1" si="49"/>
        <v>780.7254999999999</v>
      </c>
      <c r="F1092" s="32">
        <f t="shared" ca="1" si="49"/>
        <v>1216.5</v>
      </c>
      <c r="G1092" s="32">
        <f t="shared" ca="1" si="49"/>
        <v>79.166666666666671</v>
      </c>
      <c r="H1092" s="32">
        <f t="shared" ca="1" si="49"/>
        <v>600</v>
      </c>
      <c r="I1092" s="32">
        <f t="shared" ca="1" si="49"/>
        <v>695</v>
      </c>
      <c r="J1092" s="32">
        <f t="shared" ca="1" si="49"/>
        <v>33.333333333333336</v>
      </c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</row>
    <row r="1093" spans="1:20" ht="15">
      <c r="A1093" s="3">
        <f t="shared" si="50"/>
        <v>2071</v>
      </c>
      <c r="B1093" s="3">
        <f t="shared" si="41"/>
        <v>365</v>
      </c>
      <c r="C1093" s="32">
        <f t="shared" ca="1" si="49"/>
        <v>154.75825</v>
      </c>
      <c r="D1093" s="32">
        <f t="shared" ca="1" si="49"/>
        <v>281.0162499999999</v>
      </c>
      <c r="E1093" s="32">
        <f t="shared" ca="1" si="49"/>
        <v>780.7254999999999</v>
      </c>
      <c r="F1093" s="32">
        <f t="shared" ca="1" si="49"/>
        <v>1216.5</v>
      </c>
      <c r="G1093" s="32">
        <f t="shared" ca="1" si="49"/>
        <v>79.166666666666671</v>
      </c>
      <c r="H1093" s="32">
        <f t="shared" ca="1" si="49"/>
        <v>600</v>
      </c>
      <c r="I1093" s="32">
        <f t="shared" ca="1" si="49"/>
        <v>695</v>
      </c>
      <c r="J1093" s="32">
        <f t="shared" ca="1" si="49"/>
        <v>33.333333333333336</v>
      </c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</row>
    <row r="1094" spans="1:20" ht="15">
      <c r="A1094" s="3">
        <f t="shared" si="50"/>
        <v>2072</v>
      </c>
      <c r="B1094" s="3">
        <f t="shared" si="41"/>
        <v>366</v>
      </c>
      <c r="C1094" s="32">
        <f t="shared" ref="C1094:J1103" ca="1" si="51">AVERAGE(OFFSET(C$569,($A1094-$A$1084)*12,0,12,1))</f>
        <v>154.75825</v>
      </c>
      <c r="D1094" s="32">
        <f t="shared" ca="1" si="51"/>
        <v>281.0162499999999</v>
      </c>
      <c r="E1094" s="32">
        <f t="shared" ca="1" si="51"/>
        <v>780.7254999999999</v>
      </c>
      <c r="F1094" s="32">
        <f t="shared" ca="1" si="51"/>
        <v>1216.5</v>
      </c>
      <c r="G1094" s="32">
        <f t="shared" ca="1" si="51"/>
        <v>79.166666666666671</v>
      </c>
      <c r="H1094" s="32">
        <f t="shared" ca="1" si="51"/>
        <v>600</v>
      </c>
      <c r="I1094" s="32">
        <f t="shared" ca="1" si="51"/>
        <v>695</v>
      </c>
      <c r="J1094" s="32">
        <f t="shared" ca="1" si="51"/>
        <v>33.333333333333336</v>
      </c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</row>
    <row r="1095" spans="1:20" ht="15">
      <c r="A1095" s="3">
        <f t="shared" si="50"/>
        <v>2073</v>
      </c>
      <c r="B1095" s="3">
        <f t="shared" si="41"/>
        <v>365</v>
      </c>
      <c r="C1095" s="32">
        <f t="shared" ca="1" si="51"/>
        <v>154.75825</v>
      </c>
      <c r="D1095" s="32">
        <f t="shared" ca="1" si="51"/>
        <v>281.0162499999999</v>
      </c>
      <c r="E1095" s="32">
        <f t="shared" ca="1" si="51"/>
        <v>780.7254999999999</v>
      </c>
      <c r="F1095" s="32">
        <f t="shared" ca="1" si="51"/>
        <v>1216.5</v>
      </c>
      <c r="G1095" s="32">
        <f t="shared" ca="1" si="51"/>
        <v>79.166666666666671</v>
      </c>
      <c r="H1095" s="32">
        <f t="shared" ca="1" si="51"/>
        <v>600</v>
      </c>
      <c r="I1095" s="32">
        <f t="shared" ca="1" si="51"/>
        <v>695</v>
      </c>
      <c r="J1095" s="32">
        <f t="shared" ca="1" si="51"/>
        <v>33.333333333333336</v>
      </c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</row>
    <row r="1096" spans="1:20" ht="15">
      <c r="A1096" s="3">
        <f t="shared" si="50"/>
        <v>2074</v>
      </c>
      <c r="B1096" s="3">
        <f t="shared" si="41"/>
        <v>365</v>
      </c>
      <c r="C1096" s="32">
        <f t="shared" ca="1" si="51"/>
        <v>154.75825</v>
      </c>
      <c r="D1096" s="32">
        <f t="shared" ca="1" si="51"/>
        <v>281.0162499999999</v>
      </c>
      <c r="E1096" s="32">
        <f t="shared" ca="1" si="51"/>
        <v>780.7254999999999</v>
      </c>
      <c r="F1096" s="32">
        <f t="shared" ca="1" si="51"/>
        <v>1216.5</v>
      </c>
      <c r="G1096" s="32">
        <f t="shared" ca="1" si="51"/>
        <v>79.166666666666671</v>
      </c>
      <c r="H1096" s="32">
        <f t="shared" ca="1" si="51"/>
        <v>600</v>
      </c>
      <c r="I1096" s="32">
        <f t="shared" ca="1" si="51"/>
        <v>695</v>
      </c>
      <c r="J1096" s="32">
        <f t="shared" ca="1" si="51"/>
        <v>33.333333333333336</v>
      </c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</row>
    <row r="1097" spans="1:20" ht="15">
      <c r="A1097" s="3">
        <f t="shared" si="50"/>
        <v>2075</v>
      </c>
      <c r="B1097" s="3">
        <f t="shared" si="41"/>
        <v>365</v>
      </c>
      <c r="C1097" s="32">
        <f t="shared" ca="1" si="51"/>
        <v>154.75825</v>
      </c>
      <c r="D1097" s="32">
        <f t="shared" ca="1" si="51"/>
        <v>281.0162499999999</v>
      </c>
      <c r="E1097" s="32">
        <f t="shared" ca="1" si="51"/>
        <v>780.7254999999999</v>
      </c>
      <c r="F1097" s="32">
        <f t="shared" ca="1" si="51"/>
        <v>1216.5</v>
      </c>
      <c r="G1097" s="32">
        <f t="shared" ca="1" si="51"/>
        <v>79.166666666666671</v>
      </c>
      <c r="H1097" s="32">
        <f t="shared" ca="1" si="51"/>
        <v>600</v>
      </c>
      <c r="I1097" s="32">
        <f t="shared" ca="1" si="51"/>
        <v>695</v>
      </c>
      <c r="J1097" s="32">
        <f t="shared" ca="1" si="51"/>
        <v>33.333333333333336</v>
      </c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</row>
    <row r="1098" spans="1:20" ht="15">
      <c r="A1098" s="3">
        <f t="shared" si="50"/>
        <v>2076</v>
      </c>
      <c r="B1098" s="3">
        <f t="shared" si="41"/>
        <v>366</v>
      </c>
      <c r="C1098" s="32">
        <f t="shared" ca="1" si="51"/>
        <v>154.75825</v>
      </c>
      <c r="D1098" s="32">
        <f t="shared" ca="1" si="51"/>
        <v>281.0162499999999</v>
      </c>
      <c r="E1098" s="32">
        <f t="shared" ca="1" si="51"/>
        <v>780.7254999999999</v>
      </c>
      <c r="F1098" s="32">
        <f t="shared" ca="1" si="51"/>
        <v>1216.5</v>
      </c>
      <c r="G1098" s="32">
        <f t="shared" ca="1" si="51"/>
        <v>79.166666666666671</v>
      </c>
      <c r="H1098" s="32">
        <f t="shared" ca="1" si="51"/>
        <v>600</v>
      </c>
      <c r="I1098" s="32">
        <f t="shared" ca="1" si="51"/>
        <v>695</v>
      </c>
      <c r="J1098" s="32">
        <f t="shared" ca="1" si="51"/>
        <v>33.333333333333336</v>
      </c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</row>
    <row r="1099" spans="1:20" ht="15">
      <c r="A1099" s="3">
        <f t="shared" si="50"/>
        <v>2077</v>
      </c>
      <c r="B1099" s="3">
        <f t="shared" si="41"/>
        <v>365</v>
      </c>
      <c r="C1099" s="32">
        <f t="shared" ca="1" si="51"/>
        <v>154.75825</v>
      </c>
      <c r="D1099" s="32">
        <f t="shared" ca="1" si="51"/>
        <v>281.0162499999999</v>
      </c>
      <c r="E1099" s="32">
        <f t="shared" ca="1" si="51"/>
        <v>780.7254999999999</v>
      </c>
      <c r="F1099" s="32">
        <f t="shared" ca="1" si="51"/>
        <v>1216.5</v>
      </c>
      <c r="G1099" s="32">
        <f t="shared" ca="1" si="51"/>
        <v>79.166666666666671</v>
      </c>
      <c r="H1099" s="32">
        <f t="shared" ca="1" si="51"/>
        <v>600</v>
      </c>
      <c r="I1099" s="32">
        <f t="shared" ca="1" si="51"/>
        <v>695</v>
      </c>
      <c r="J1099" s="32">
        <f t="shared" ca="1" si="51"/>
        <v>33.333333333333336</v>
      </c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</row>
    <row r="1100" spans="1:20" ht="15">
      <c r="A1100" s="3">
        <f t="shared" si="50"/>
        <v>2078</v>
      </c>
      <c r="B1100" s="3">
        <f t="shared" si="41"/>
        <v>365</v>
      </c>
      <c r="C1100" s="32">
        <f t="shared" ca="1" si="51"/>
        <v>154.75825</v>
      </c>
      <c r="D1100" s="32">
        <f t="shared" ca="1" si="51"/>
        <v>281.0162499999999</v>
      </c>
      <c r="E1100" s="32">
        <f t="shared" ca="1" si="51"/>
        <v>780.7254999999999</v>
      </c>
      <c r="F1100" s="32">
        <f t="shared" ca="1" si="51"/>
        <v>1216.5</v>
      </c>
      <c r="G1100" s="32">
        <f t="shared" ca="1" si="51"/>
        <v>79.166666666666671</v>
      </c>
      <c r="H1100" s="32">
        <f t="shared" ca="1" si="51"/>
        <v>600</v>
      </c>
      <c r="I1100" s="32">
        <f t="shared" ca="1" si="51"/>
        <v>695</v>
      </c>
      <c r="J1100" s="32">
        <f t="shared" ca="1" si="51"/>
        <v>33.333333333333336</v>
      </c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</row>
    <row r="1101" spans="1:20" ht="15">
      <c r="A1101" s="3">
        <f t="shared" si="50"/>
        <v>2079</v>
      </c>
      <c r="B1101" s="3">
        <f t="shared" si="41"/>
        <v>365</v>
      </c>
      <c r="C1101" s="32">
        <f t="shared" ca="1" si="51"/>
        <v>154.75825</v>
      </c>
      <c r="D1101" s="32">
        <f t="shared" ca="1" si="51"/>
        <v>281.0162499999999</v>
      </c>
      <c r="E1101" s="32">
        <f t="shared" ca="1" si="51"/>
        <v>780.7254999999999</v>
      </c>
      <c r="F1101" s="32">
        <f t="shared" ca="1" si="51"/>
        <v>1216.5</v>
      </c>
      <c r="G1101" s="32">
        <f t="shared" ca="1" si="51"/>
        <v>79.166666666666671</v>
      </c>
      <c r="H1101" s="32">
        <f t="shared" ca="1" si="51"/>
        <v>600</v>
      </c>
      <c r="I1101" s="32">
        <f t="shared" ca="1" si="51"/>
        <v>695</v>
      </c>
      <c r="J1101" s="32">
        <f t="shared" ca="1" si="51"/>
        <v>33.333333333333336</v>
      </c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</row>
    <row r="1102" spans="1:20" ht="15">
      <c r="A1102" s="3">
        <f t="shared" si="50"/>
        <v>2080</v>
      </c>
      <c r="B1102" s="3">
        <f t="shared" ref="B1102:B1122" si="52">DATE(A1102+1,1,1)-DATE(A1102,1,1)</f>
        <v>366</v>
      </c>
      <c r="C1102" s="32">
        <f t="shared" ca="1" si="51"/>
        <v>154.75825</v>
      </c>
      <c r="D1102" s="32">
        <f t="shared" ca="1" si="51"/>
        <v>281.0162499999999</v>
      </c>
      <c r="E1102" s="32">
        <f t="shared" ca="1" si="51"/>
        <v>780.7254999999999</v>
      </c>
      <c r="F1102" s="32">
        <f t="shared" ca="1" si="51"/>
        <v>1216.5</v>
      </c>
      <c r="G1102" s="32">
        <f t="shared" ca="1" si="51"/>
        <v>79.166666666666671</v>
      </c>
      <c r="H1102" s="32">
        <f t="shared" ca="1" si="51"/>
        <v>600</v>
      </c>
      <c r="I1102" s="32">
        <f t="shared" ca="1" si="51"/>
        <v>695</v>
      </c>
      <c r="J1102" s="32">
        <f t="shared" ca="1" si="51"/>
        <v>33.333333333333336</v>
      </c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</row>
    <row r="1103" spans="1:20" ht="15">
      <c r="A1103" s="3">
        <f t="shared" si="50"/>
        <v>2081</v>
      </c>
      <c r="B1103" s="3">
        <f t="shared" si="52"/>
        <v>365</v>
      </c>
      <c r="C1103" s="32">
        <f t="shared" ca="1" si="51"/>
        <v>154.75825</v>
      </c>
      <c r="D1103" s="32">
        <f t="shared" ca="1" si="51"/>
        <v>281.0162499999999</v>
      </c>
      <c r="E1103" s="32">
        <f t="shared" ca="1" si="51"/>
        <v>780.7254999999999</v>
      </c>
      <c r="F1103" s="32">
        <f t="shared" ca="1" si="51"/>
        <v>1216.5</v>
      </c>
      <c r="G1103" s="32">
        <f t="shared" ca="1" si="51"/>
        <v>79.166666666666671</v>
      </c>
      <c r="H1103" s="32">
        <f t="shared" ca="1" si="51"/>
        <v>600</v>
      </c>
      <c r="I1103" s="32">
        <f t="shared" ca="1" si="51"/>
        <v>695</v>
      </c>
      <c r="J1103" s="32">
        <f t="shared" ca="1" si="51"/>
        <v>33.333333333333336</v>
      </c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</row>
    <row r="1104" spans="1:20" ht="15">
      <c r="A1104" s="3">
        <f t="shared" si="50"/>
        <v>2082</v>
      </c>
      <c r="B1104" s="3">
        <f t="shared" si="52"/>
        <v>365</v>
      </c>
      <c r="C1104" s="32">
        <f t="shared" ref="C1104:J1113" ca="1" si="53">AVERAGE(OFFSET(C$569,($A1104-$A$1084)*12,0,12,1))</f>
        <v>154.75825</v>
      </c>
      <c r="D1104" s="32">
        <f t="shared" ca="1" si="53"/>
        <v>281.0162499999999</v>
      </c>
      <c r="E1104" s="32">
        <f t="shared" ca="1" si="53"/>
        <v>780.7254999999999</v>
      </c>
      <c r="F1104" s="32">
        <f t="shared" ca="1" si="53"/>
        <v>1216.5</v>
      </c>
      <c r="G1104" s="32">
        <f t="shared" ca="1" si="53"/>
        <v>79.166666666666671</v>
      </c>
      <c r="H1104" s="32">
        <f t="shared" ca="1" si="53"/>
        <v>600</v>
      </c>
      <c r="I1104" s="32">
        <f t="shared" ca="1" si="53"/>
        <v>695</v>
      </c>
      <c r="J1104" s="32">
        <f t="shared" ca="1" si="53"/>
        <v>33.333333333333336</v>
      </c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</row>
    <row r="1105" spans="1:20" ht="15">
      <c r="A1105" s="3">
        <f t="shared" si="50"/>
        <v>2083</v>
      </c>
      <c r="B1105" s="3">
        <f t="shared" si="52"/>
        <v>365</v>
      </c>
      <c r="C1105" s="32">
        <f t="shared" ca="1" si="53"/>
        <v>154.75825</v>
      </c>
      <c r="D1105" s="32">
        <f t="shared" ca="1" si="53"/>
        <v>281.0162499999999</v>
      </c>
      <c r="E1105" s="32">
        <f t="shared" ca="1" si="53"/>
        <v>780.7254999999999</v>
      </c>
      <c r="F1105" s="32">
        <f t="shared" ca="1" si="53"/>
        <v>1216.5</v>
      </c>
      <c r="G1105" s="32">
        <f t="shared" ca="1" si="53"/>
        <v>79.166666666666671</v>
      </c>
      <c r="H1105" s="32">
        <f t="shared" ca="1" si="53"/>
        <v>600</v>
      </c>
      <c r="I1105" s="32">
        <f t="shared" ca="1" si="53"/>
        <v>695</v>
      </c>
      <c r="J1105" s="32">
        <f t="shared" ca="1" si="53"/>
        <v>33.333333333333336</v>
      </c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</row>
    <row r="1106" spans="1:20" ht="15">
      <c r="A1106" s="3">
        <f t="shared" si="50"/>
        <v>2084</v>
      </c>
      <c r="B1106" s="3">
        <f t="shared" si="52"/>
        <v>366</v>
      </c>
      <c r="C1106" s="32">
        <f t="shared" ca="1" si="53"/>
        <v>154.75825</v>
      </c>
      <c r="D1106" s="32">
        <f t="shared" ca="1" si="53"/>
        <v>281.0162499999999</v>
      </c>
      <c r="E1106" s="32">
        <f t="shared" ca="1" si="53"/>
        <v>780.7254999999999</v>
      </c>
      <c r="F1106" s="32">
        <f t="shared" ca="1" si="53"/>
        <v>1216.5</v>
      </c>
      <c r="G1106" s="32">
        <f t="shared" ca="1" si="53"/>
        <v>79.166666666666671</v>
      </c>
      <c r="H1106" s="32">
        <f t="shared" ca="1" si="53"/>
        <v>600</v>
      </c>
      <c r="I1106" s="32">
        <f t="shared" ca="1" si="53"/>
        <v>695</v>
      </c>
      <c r="J1106" s="32">
        <f t="shared" ca="1" si="53"/>
        <v>33.333333333333336</v>
      </c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</row>
    <row r="1107" spans="1:20" ht="15">
      <c r="A1107" s="3">
        <f t="shared" si="50"/>
        <v>2085</v>
      </c>
      <c r="B1107" s="3">
        <f t="shared" si="52"/>
        <v>365</v>
      </c>
      <c r="C1107" s="32">
        <f t="shared" ca="1" si="53"/>
        <v>154.75825</v>
      </c>
      <c r="D1107" s="32">
        <f t="shared" ca="1" si="53"/>
        <v>281.0162499999999</v>
      </c>
      <c r="E1107" s="32">
        <f t="shared" ca="1" si="53"/>
        <v>780.7254999999999</v>
      </c>
      <c r="F1107" s="32">
        <f t="shared" ca="1" si="53"/>
        <v>1216.5</v>
      </c>
      <c r="G1107" s="32">
        <f t="shared" ca="1" si="53"/>
        <v>79.166666666666671</v>
      </c>
      <c r="H1107" s="32">
        <f t="shared" ca="1" si="53"/>
        <v>600</v>
      </c>
      <c r="I1107" s="32">
        <f t="shared" ca="1" si="53"/>
        <v>695</v>
      </c>
      <c r="J1107" s="32">
        <f t="shared" ca="1" si="53"/>
        <v>33.333333333333336</v>
      </c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</row>
    <row r="1108" spans="1:20" ht="15">
      <c r="A1108" s="3">
        <f t="shared" si="50"/>
        <v>2086</v>
      </c>
      <c r="B1108" s="3">
        <f t="shared" si="52"/>
        <v>365</v>
      </c>
      <c r="C1108" s="32">
        <f t="shared" ca="1" si="53"/>
        <v>154.75825</v>
      </c>
      <c r="D1108" s="32">
        <f t="shared" ca="1" si="53"/>
        <v>281.0162499999999</v>
      </c>
      <c r="E1108" s="32">
        <f t="shared" ca="1" si="53"/>
        <v>780.7254999999999</v>
      </c>
      <c r="F1108" s="32">
        <f t="shared" ca="1" si="53"/>
        <v>1216.5</v>
      </c>
      <c r="G1108" s="32">
        <f t="shared" ca="1" si="53"/>
        <v>79.166666666666671</v>
      </c>
      <c r="H1108" s="32">
        <f t="shared" ca="1" si="53"/>
        <v>600</v>
      </c>
      <c r="I1108" s="32">
        <f t="shared" ca="1" si="53"/>
        <v>695</v>
      </c>
      <c r="J1108" s="32">
        <f t="shared" ca="1" si="53"/>
        <v>33.333333333333336</v>
      </c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</row>
    <row r="1109" spans="1:20" ht="15">
      <c r="A1109" s="3">
        <f t="shared" si="50"/>
        <v>2087</v>
      </c>
      <c r="B1109" s="3">
        <f t="shared" si="52"/>
        <v>365</v>
      </c>
      <c r="C1109" s="32">
        <f t="shared" ca="1" si="53"/>
        <v>154.75825</v>
      </c>
      <c r="D1109" s="32">
        <f t="shared" ca="1" si="53"/>
        <v>281.0162499999999</v>
      </c>
      <c r="E1109" s="32">
        <f t="shared" ca="1" si="53"/>
        <v>780.7254999999999</v>
      </c>
      <c r="F1109" s="32">
        <f t="shared" ca="1" si="53"/>
        <v>1216.5</v>
      </c>
      <c r="G1109" s="32">
        <f t="shared" ca="1" si="53"/>
        <v>79.166666666666671</v>
      </c>
      <c r="H1109" s="32">
        <f t="shared" ca="1" si="53"/>
        <v>600</v>
      </c>
      <c r="I1109" s="32">
        <f t="shared" ca="1" si="53"/>
        <v>695</v>
      </c>
      <c r="J1109" s="32">
        <f t="shared" ca="1" si="53"/>
        <v>33.333333333333336</v>
      </c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</row>
    <row r="1110" spans="1:20" ht="15">
      <c r="A1110" s="3">
        <f t="shared" si="50"/>
        <v>2088</v>
      </c>
      <c r="B1110" s="3">
        <f t="shared" si="52"/>
        <v>366</v>
      </c>
      <c r="C1110" s="32">
        <f t="shared" ca="1" si="53"/>
        <v>154.75825</v>
      </c>
      <c r="D1110" s="32">
        <f t="shared" ca="1" si="53"/>
        <v>281.0162499999999</v>
      </c>
      <c r="E1110" s="32">
        <f t="shared" ca="1" si="53"/>
        <v>780.7254999999999</v>
      </c>
      <c r="F1110" s="32">
        <f t="shared" ca="1" si="53"/>
        <v>1216.5</v>
      </c>
      <c r="G1110" s="32">
        <f t="shared" ca="1" si="53"/>
        <v>79.166666666666671</v>
      </c>
      <c r="H1110" s="32">
        <f t="shared" ca="1" si="53"/>
        <v>600</v>
      </c>
      <c r="I1110" s="32">
        <f t="shared" ca="1" si="53"/>
        <v>695</v>
      </c>
      <c r="J1110" s="32">
        <f t="shared" ca="1" si="53"/>
        <v>33.333333333333336</v>
      </c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</row>
    <row r="1111" spans="1:20" ht="15">
      <c r="A1111" s="3">
        <f t="shared" si="50"/>
        <v>2089</v>
      </c>
      <c r="B1111" s="3">
        <f t="shared" si="52"/>
        <v>365</v>
      </c>
      <c r="C1111" s="32">
        <f t="shared" ca="1" si="53"/>
        <v>154.75825</v>
      </c>
      <c r="D1111" s="32">
        <f t="shared" ca="1" si="53"/>
        <v>281.0162499999999</v>
      </c>
      <c r="E1111" s="32">
        <f t="shared" ca="1" si="53"/>
        <v>780.7254999999999</v>
      </c>
      <c r="F1111" s="32">
        <f t="shared" ca="1" si="53"/>
        <v>1216.5</v>
      </c>
      <c r="G1111" s="32">
        <f t="shared" ca="1" si="53"/>
        <v>79.166666666666671</v>
      </c>
      <c r="H1111" s="32">
        <f t="shared" ca="1" si="53"/>
        <v>600</v>
      </c>
      <c r="I1111" s="32">
        <f t="shared" ca="1" si="53"/>
        <v>695</v>
      </c>
      <c r="J1111" s="32">
        <f t="shared" ca="1" si="53"/>
        <v>33.333333333333336</v>
      </c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</row>
    <row r="1112" spans="1:20" ht="15">
      <c r="A1112" s="3">
        <f t="shared" si="50"/>
        <v>2090</v>
      </c>
      <c r="B1112" s="3">
        <f t="shared" si="52"/>
        <v>365</v>
      </c>
      <c r="C1112" s="32">
        <f t="shared" ca="1" si="53"/>
        <v>154.75825</v>
      </c>
      <c r="D1112" s="32">
        <f t="shared" ca="1" si="53"/>
        <v>281.0162499999999</v>
      </c>
      <c r="E1112" s="32">
        <f t="shared" ca="1" si="53"/>
        <v>780.7254999999999</v>
      </c>
      <c r="F1112" s="32">
        <f t="shared" ca="1" si="53"/>
        <v>1216.5</v>
      </c>
      <c r="G1112" s="32">
        <f t="shared" ca="1" si="53"/>
        <v>79.166666666666671</v>
      </c>
      <c r="H1112" s="32">
        <f t="shared" ca="1" si="53"/>
        <v>600</v>
      </c>
      <c r="I1112" s="32">
        <f t="shared" ca="1" si="53"/>
        <v>695</v>
      </c>
      <c r="J1112" s="32">
        <f t="shared" ca="1" si="53"/>
        <v>33.333333333333336</v>
      </c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</row>
    <row r="1113" spans="1:20" ht="15">
      <c r="A1113" s="3">
        <f t="shared" si="50"/>
        <v>2091</v>
      </c>
      <c r="B1113" s="3">
        <f t="shared" si="52"/>
        <v>365</v>
      </c>
      <c r="C1113" s="32">
        <f t="shared" ca="1" si="53"/>
        <v>154.75825</v>
      </c>
      <c r="D1113" s="32">
        <f t="shared" ca="1" si="53"/>
        <v>281.0162499999999</v>
      </c>
      <c r="E1113" s="32">
        <f t="shared" ca="1" si="53"/>
        <v>780.7254999999999</v>
      </c>
      <c r="F1113" s="32">
        <f t="shared" ca="1" si="53"/>
        <v>1216.5</v>
      </c>
      <c r="G1113" s="32">
        <f t="shared" ca="1" si="53"/>
        <v>79.166666666666671</v>
      </c>
      <c r="H1113" s="32">
        <f t="shared" ca="1" si="53"/>
        <v>600</v>
      </c>
      <c r="I1113" s="32">
        <f t="shared" ca="1" si="53"/>
        <v>695</v>
      </c>
      <c r="J1113" s="32">
        <f t="shared" ca="1" si="53"/>
        <v>33.333333333333336</v>
      </c>
    </row>
    <row r="1114" spans="1:20" ht="15">
      <c r="A1114" s="3">
        <f t="shared" si="50"/>
        <v>2092</v>
      </c>
      <c r="B1114" s="3">
        <f t="shared" si="52"/>
        <v>366</v>
      </c>
      <c r="C1114" s="32">
        <f t="shared" ref="C1114:J1122" ca="1" si="54">AVERAGE(OFFSET(C$569,($A1114-$A$1084)*12,0,12,1))</f>
        <v>154.75825</v>
      </c>
      <c r="D1114" s="32">
        <f t="shared" ca="1" si="54"/>
        <v>281.0162499999999</v>
      </c>
      <c r="E1114" s="32">
        <f t="shared" ca="1" si="54"/>
        <v>780.7254999999999</v>
      </c>
      <c r="F1114" s="32">
        <f t="shared" ca="1" si="54"/>
        <v>1216.5</v>
      </c>
      <c r="G1114" s="32">
        <f t="shared" ca="1" si="54"/>
        <v>79.166666666666671</v>
      </c>
      <c r="H1114" s="32">
        <f t="shared" ca="1" si="54"/>
        <v>600</v>
      </c>
      <c r="I1114" s="32">
        <f t="shared" ca="1" si="54"/>
        <v>695</v>
      </c>
      <c r="J1114" s="32">
        <f t="shared" ca="1" si="54"/>
        <v>33.333333333333336</v>
      </c>
    </row>
    <row r="1115" spans="1:20" ht="15">
      <c r="A1115" s="3">
        <f t="shared" si="50"/>
        <v>2093</v>
      </c>
      <c r="B1115" s="3">
        <f t="shared" si="52"/>
        <v>365</v>
      </c>
      <c r="C1115" s="32">
        <f t="shared" ca="1" si="54"/>
        <v>154.75825</v>
      </c>
      <c r="D1115" s="32">
        <f t="shared" ca="1" si="54"/>
        <v>281.0162499999999</v>
      </c>
      <c r="E1115" s="32">
        <f t="shared" ca="1" si="54"/>
        <v>780.7254999999999</v>
      </c>
      <c r="F1115" s="32">
        <f t="shared" ca="1" si="54"/>
        <v>1216.5</v>
      </c>
      <c r="G1115" s="32">
        <f t="shared" ca="1" si="54"/>
        <v>79.166666666666671</v>
      </c>
      <c r="H1115" s="32">
        <f t="shared" ca="1" si="54"/>
        <v>600</v>
      </c>
      <c r="I1115" s="32">
        <f t="shared" ca="1" si="54"/>
        <v>695</v>
      </c>
      <c r="J1115" s="32">
        <f t="shared" ca="1" si="54"/>
        <v>33.333333333333336</v>
      </c>
    </row>
    <row r="1116" spans="1:20" ht="15">
      <c r="A1116" s="3">
        <f t="shared" si="50"/>
        <v>2094</v>
      </c>
      <c r="B1116" s="3">
        <f t="shared" si="52"/>
        <v>365</v>
      </c>
      <c r="C1116" s="32">
        <f t="shared" ca="1" si="54"/>
        <v>154.75825</v>
      </c>
      <c r="D1116" s="32">
        <f t="shared" ca="1" si="54"/>
        <v>281.0162499999999</v>
      </c>
      <c r="E1116" s="32">
        <f t="shared" ca="1" si="54"/>
        <v>780.7254999999999</v>
      </c>
      <c r="F1116" s="32">
        <f t="shared" ca="1" si="54"/>
        <v>1216.5</v>
      </c>
      <c r="G1116" s="32">
        <f t="shared" ca="1" si="54"/>
        <v>79.166666666666671</v>
      </c>
      <c r="H1116" s="32">
        <f t="shared" ca="1" si="54"/>
        <v>600</v>
      </c>
      <c r="I1116" s="32">
        <f t="shared" ca="1" si="54"/>
        <v>695</v>
      </c>
      <c r="J1116" s="32">
        <f t="shared" ca="1" si="54"/>
        <v>33.333333333333336</v>
      </c>
    </row>
    <row r="1117" spans="1:20" ht="15">
      <c r="A1117" s="3">
        <f t="shared" si="50"/>
        <v>2095</v>
      </c>
      <c r="B1117" s="3">
        <f t="shared" si="52"/>
        <v>365</v>
      </c>
      <c r="C1117" s="32">
        <f t="shared" ca="1" si="54"/>
        <v>154.75825</v>
      </c>
      <c r="D1117" s="32">
        <f t="shared" ca="1" si="54"/>
        <v>281.0162499999999</v>
      </c>
      <c r="E1117" s="32">
        <f t="shared" ca="1" si="54"/>
        <v>780.7254999999999</v>
      </c>
      <c r="F1117" s="32">
        <f t="shared" ca="1" si="54"/>
        <v>1216.5</v>
      </c>
      <c r="G1117" s="32">
        <f t="shared" ca="1" si="54"/>
        <v>79.166666666666671</v>
      </c>
      <c r="H1117" s="32">
        <f t="shared" ca="1" si="54"/>
        <v>600</v>
      </c>
      <c r="I1117" s="32">
        <f t="shared" ca="1" si="54"/>
        <v>695</v>
      </c>
      <c r="J1117" s="32">
        <f t="shared" ca="1" si="54"/>
        <v>33.333333333333336</v>
      </c>
    </row>
    <row r="1118" spans="1:20" ht="15">
      <c r="A1118" s="3">
        <f t="shared" si="50"/>
        <v>2096</v>
      </c>
      <c r="B1118" s="3">
        <f t="shared" si="52"/>
        <v>366</v>
      </c>
      <c r="C1118" s="32">
        <f t="shared" ca="1" si="54"/>
        <v>154.75825</v>
      </c>
      <c r="D1118" s="32">
        <f t="shared" ca="1" si="54"/>
        <v>281.0162499999999</v>
      </c>
      <c r="E1118" s="32">
        <f t="shared" ca="1" si="54"/>
        <v>780.7254999999999</v>
      </c>
      <c r="F1118" s="32">
        <f t="shared" ca="1" si="54"/>
        <v>1216.5</v>
      </c>
      <c r="G1118" s="32">
        <f t="shared" ca="1" si="54"/>
        <v>79.166666666666671</v>
      </c>
      <c r="H1118" s="32">
        <f t="shared" ca="1" si="54"/>
        <v>600</v>
      </c>
      <c r="I1118" s="32">
        <f t="shared" ca="1" si="54"/>
        <v>695</v>
      </c>
      <c r="J1118" s="32">
        <f t="shared" ca="1" si="54"/>
        <v>33.333333333333336</v>
      </c>
    </row>
    <row r="1119" spans="1:20" ht="15">
      <c r="A1119" s="3">
        <f t="shared" si="50"/>
        <v>2097</v>
      </c>
      <c r="B1119" s="3">
        <f t="shared" si="52"/>
        <v>365</v>
      </c>
      <c r="C1119" s="32">
        <f t="shared" ca="1" si="54"/>
        <v>154.75825</v>
      </c>
      <c r="D1119" s="32">
        <f t="shared" ca="1" si="54"/>
        <v>281.0162499999999</v>
      </c>
      <c r="E1119" s="32">
        <f t="shared" ca="1" si="54"/>
        <v>780.7254999999999</v>
      </c>
      <c r="F1119" s="32">
        <f t="shared" ca="1" si="54"/>
        <v>1216.5</v>
      </c>
      <c r="G1119" s="32">
        <f t="shared" ca="1" si="54"/>
        <v>79.166666666666671</v>
      </c>
      <c r="H1119" s="32">
        <f t="shared" ca="1" si="54"/>
        <v>600</v>
      </c>
      <c r="I1119" s="32">
        <f t="shared" ca="1" si="54"/>
        <v>695</v>
      </c>
      <c r="J1119" s="32">
        <f t="shared" ca="1" si="54"/>
        <v>33.333333333333336</v>
      </c>
    </row>
    <row r="1120" spans="1:20" ht="15">
      <c r="A1120" s="3">
        <f t="shared" si="50"/>
        <v>2098</v>
      </c>
      <c r="B1120" s="3">
        <f t="shared" si="52"/>
        <v>365</v>
      </c>
      <c r="C1120" s="32">
        <f t="shared" ca="1" si="54"/>
        <v>154.75825</v>
      </c>
      <c r="D1120" s="32">
        <f t="shared" ca="1" si="54"/>
        <v>281.0162499999999</v>
      </c>
      <c r="E1120" s="32">
        <f t="shared" ca="1" si="54"/>
        <v>780.7254999999999</v>
      </c>
      <c r="F1120" s="32">
        <f t="shared" ca="1" si="54"/>
        <v>1216.5</v>
      </c>
      <c r="G1120" s="32">
        <f t="shared" ca="1" si="54"/>
        <v>79.166666666666671</v>
      </c>
      <c r="H1120" s="32">
        <f t="shared" ca="1" si="54"/>
        <v>600</v>
      </c>
      <c r="I1120" s="32">
        <f t="shared" ca="1" si="54"/>
        <v>695</v>
      </c>
      <c r="J1120" s="32">
        <f t="shared" ca="1" si="54"/>
        <v>33.333333333333336</v>
      </c>
    </row>
    <row r="1121" spans="1:10" ht="15">
      <c r="A1121" s="3">
        <f t="shared" si="50"/>
        <v>2099</v>
      </c>
      <c r="B1121" s="3">
        <f t="shared" si="52"/>
        <v>365</v>
      </c>
      <c r="C1121" s="32">
        <f t="shared" ca="1" si="54"/>
        <v>154.75825</v>
      </c>
      <c r="D1121" s="32">
        <f t="shared" ca="1" si="54"/>
        <v>281.0162499999999</v>
      </c>
      <c r="E1121" s="32">
        <f t="shared" ca="1" si="54"/>
        <v>780.7254999999999</v>
      </c>
      <c r="F1121" s="32">
        <f t="shared" ca="1" si="54"/>
        <v>1216.5</v>
      </c>
      <c r="G1121" s="32">
        <f t="shared" ca="1" si="54"/>
        <v>79.166666666666671</v>
      </c>
      <c r="H1121" s="32">
        <f t="shared" ca="1" si="54"/>
        <v>600</v>
      </c>
      <c r="I1121" s="32">
        <f t="shared" ca="1" si="54"/>
        <v>695</v>
      </c>
      <c r="J1121" s="32">
        <f t="shared" ca="1" si="54"/>
        <v>33.333333333333336</v>
      </c>
    </row>
    <row r="1122" spans="1:10" ht="15">
      <c r="A1122" s="3">
        <f t="shared" si="50"/>
        <v>2100</v>
      </c>
      <c r="B1122" s="3">
        <f t="shared" si="52"/>
        <v>365</v>
      </c>
      <c r="C1122" s="32">
        <f t="shared" ca="1" si="54"/>
        <v>154.75825</v>
      </c>
      <c r="D1122" s="32">
        <f t="shared" ca="1" si="54"/>
        <v>281.0162499999999</v>
      </c>
      <c r="E1122" s="32">
        <f t="shared" ca="1" si="54"/>
        <v>780.7254999999999</v>
      </c>
      <c r="F1122" s="32">
        <f t="shared" ca="1" si="54"/>
        <v>1216.5</v>
      </c>
      <c r="G1122" s="32">
        <f t="shared" ca="1" si="54"/>
        <v>79.166666666666671</v>
      </c>
      <c r="H1122" s="32">
        <f t="shared" ca="1" si="54"/>
        <v>600</v>
      </c>
      <c r="I1122" s="32">
        <f t="shared" ca="1" si="54"/>
        <v>695</v>
      </c>
      <c r="J1122" s="32">
        <f t="shared" ca="1" si="54"/>
        <v>33.333333333333336</v>
      </c>
    </row>
    <row r="1123" spans="1:10">
      <c r="A1123" s="29"/>
      <c r="B1123" s="29"/>
      <c r="C1123" s="31"/>
      <c r="D1123" s="31"/>
      <c r="E1123" s="31"/>
      <c r="F1123" s="31"/>
      <c r="G1123" s="31"/>
    </row>
    <row r="1124" spans="1:10">
      <c r="A1124" s="29"/>
      <c r="B1124" s="29"/>
    </row>
    <row r="1125" spans="1:10">
      <c r="A1125" s="29"/>
      <c r="B1125" s="29"/>
    </row>
    <row r="1126" spans="1:10">
      <c r="A1126" s="29"/>
      <c r="B1126" s="29"/>
    </row>
    <row r="1127" spans="1:10">
      <c r="A1127" s="29"/>
      <c r="B1127" s="29"/>
    </row>
    <row r="1128" spans="1:10">
      <c r="A1128" s="29"/>
      <c r="B1128" s="29"/>
    </row>
    <row r="1129" spans="1:10">
      <c r="A1129" s="29"/>
      <c r="B1129" s="29"/>
    </row>
    <row r="1130" spans="1:10">
      <c r="A1130" s="29"/>
      <c r="B1130" s="29"/>
    </row>
    <row r="1131" spans="1:10">
      <c r="A1131" s="29"/>
      <c r="B1131" s="29"/>
    </row>
    <row r="1132" spans="1:10">
      <c r="A1132" s="29"/>
      <c r="B1132" s="29"/>
    </row>
    <row r="1133" spans="1:10">
      <c r="A1133" s="29"/>
      <c r="B1133" s="29"/>
    </row>
    <row r="1134" spans="1:10">
      <c r="A1134" s="29"/>
      <c r="B1134" s="29"/>
    </row>
    <row r="1135" spans="1:10">
      <c r="A1135" s="29"/>
      <c r="B1135" s="29"/>
    </row>
    <row r="1136" spans="1:10">
      <c r="A1136" s="29"/>
      <c r="B1136" s="29"/>
    </row>
    <row r="1137" spans="1:2">
      <c r="A1137" s="29"/>
      <c r="B1137" s="29"/>
    </row>
    <row r="1138" spans="1:2">
      <c r="A1138" s="29"/>
      <c r="B1138" s="29"/>
    </row>
    <row r="1139" spans="1:2">
      <c r="A1139" s="29"/>
      <c r="B1139" s="29"/>
    </row>
    <row r="1140" spans="1:2">
      <c r="A1140" s="29"/>
      <c r="B1140" s="29"/>
    </row>
    <row r="1141" spans="1:2">
      <c r="A1141" s="29"/>
      <c r="B1141" s="29"/>
    </row>
    <row r="1142" spans="1:2">
      <c r="A1142" s="29"/>
      <c r="B1142" s="29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42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0" bestFit="1" customWidth="1"/>
    <col min="2" max="2" width="10" style="30" customWidth="1"/>
    <col min="3" max="3" width="12" style="30" customWidth="1"/>
    <col min="4" max="4" width="12.109375" style="30" bestFit="1" customWidth="1"/>
    <col min="5" max="5" width="8.44140625" style="30" bestFit="1" customWidth="1"/>
    <col min="6" max="16384" width="7.109375" style="29"/>
  </cols>
  <sheetData>
    <row r="1" spans="1:7" ht="15.75">
      <c r="A1" s="81" t="s">
        <v>64</v>
      </c>
    </row>
    <row r="2" spans="1:7" ht="15.75">
      <c r="A2" s="81" t="s">
        <v>65</v>
      </c>
    </row>
    <row r="3" spans="1:7" ht="15.75">
      <c r="A3" s="81" t="s">
        <v>66</v>
      </c>
    </row>
    <row r="4" spans="1:7" ht="15.75">
      <c r="A4" s="81" t="s">
        <v>67</v>
      </c>
    </row>
    <row r="5" spans="1:7" ht="15.75">
      <c r="A5" s="81" t="s">
        <v>69</v>
      </c>
    </row>
    <row r="6" spans="1:7" ht="15.75">
      <c r="A6" s="81" t="s">
        <v>71</v>
      </c>
    </row>
    <row r="8" spans="1:7" ht="20.25">
      <c r="A8" s="28" t="s">
        <v>43</v>
      </c>
    </row>
    <row r="9" spans="1:7" ht="15" customHeight="1">
      <c r="A9" s="54" t="s">
        <v>25</v>
      </c>
    </row>
    <row r="10" spans="1:7" ht="15" customHeight="1">
      <c r="A10" s="59"/>
      <c r="F10" s="57"/>
      <c r="G10" s="57"/>
    </row>
    <row r="11" spans="1:7" ht="15" customHeight="1">
      <c r="A11" s="59"/>
      <c r="B11" s="58"/>
      <c r="C11" s="58"/>
      <c r="D11" s="58"/>
      <c r="E11" s="58"/>
      <c r="F11" s="57"/>
      <c r="G11" s="57"/>
    </row>
    <row r="12" spans="1:7" ht="15" customHeight="1"/>
    <row r="13" spans="1:7" ht="15" customHeight="1">
      <c r="B13" s="56" t="s">
        <v>24</v>
      </c>
      <c r="C13" s="55">
        <f>1-0.269</f>
        <v>0.73099999999999998</v>
      </c>
      <c r="D13" s="56" t="s">
        <v>23</v>
      </c>
      <c r="E13" s="55">
        <f>1+0.269</f>
        <v>1.2690000000000001</v>
      </c>
    </row>
    <row r="14" spans="1:7" ht="15" customHeight="1">
      <c r="A14" s="54"/>
      <c r="B14" s="84" t="s">
        <v>42</v>
      </c>
      <c r="C14" s="84"/>
      <c r="D14" s="53" t="s">
        <v>41</v>
      </c>
      <c r="E14" s="48"/>
    </row>
    <row r="15" spans="1:7" s="51" customFormat="1" ht="63">
      <c r="B15" s="52" t="s">
        <v>40</v>
      </c>
      <c r="C15" s="52" t="s">
        <v>39</v>
      </c>
      <c r="D15" s="52" t="s">
        <v>38</v>
      </c>
      <c r="E15" s="20" t="s">
        <v>37</v>
      </c>
    </row>
    <row r="16" spans="1:7" s="51" customFormat="1" ht="15.75">
      <c r="A16" s="17" t="s">
        <v>2</v>
      </c>
      <c r="B16" s="43" t="s">
        <v>1</v>
      </c>
      <c r="C16" s="43" t="s">
        <v>1</v>
      </c>
      <c r="D16" s="43" t="s">
        <v>1</v>
      </c>
      <c r="E16" s="17" t="s">
        <v>36</v>
      </c>
    </row>
    <row r="17" spans="1:5" ht="15">
      <c r="A17" s="13">
        <v>42370</v>
      </c>
      <c r="B17" s="4">
        <f>5.3484 * CHOOSE(CONTROL!$C$6, $C$13, 100%, $E$13) + CHOOSE(CONTROL!$C$25, 0.0003, 0)</f>
        <v>5.3487</v>
      </c>
      <c r="C17" s="4">
        <f>5.0359 * CHOOSE(CONTROL!$C$6, $C$13, 100%, $E$13) + CHOOSE(CONTROL!$C$25, 0.0003, 0)</f>
        <v>5.0362</v>
      </c>
      <c r="D17" s="4">
        <f>9.5328 * CHOOSE(CONTROL!$C$6, $C$13, 100%, $E$13) + CHOOSE(CONTROL!$C$25, 0, 0)</f>
        <v>9.5327999999999999</v>
      </c>
      <c r="E17" s="4">
        <f>34.74 * CHOOSE(CONTROL!$C$6, $C$13, 100%, $E$13) + CHOOSE(CONTROL!$C$25, 0, 0)</f>
        <v>34.74</v>
      </c>
    </row>
    <row r="18" spans="1:5" ht="15">
      <c r="A18" s="13">
        <v>42401</v>
      </c>
      <c r="B18" s="4">
        <f>5.5922 * CHOOSE(CONTROL!$C$6, $C$13, 100%, $E$13) + CHOOSE(CONTROL!$C$25, 0.0003, 0)</f>
        <v>5.5925000000000002</v>
      </c>
      <c r="C18" s="4">
        <f>5.2797 * CHOOSE(CONTROL!$C$6, $C$13, 100%, $E$13) + CHOOSE(CONTROL!$C$25, 0.0003, 0)</f>
        <v>5.28</v>
      </c>
      <c r="D18" s="4">
        <f>9.2043 * CHOOSE(CONTROL!$C$6, $C$13, 100%, $E$13) + CHOOSE(CONTROL!$C$25, 0, 0)</f>
        <v>9.2042999999999999</v>
      </c>
      <c r="E18" s="4">
        <f>26.55 * CHOOSE(CONTROL!$C$6, $C$13, 100%, $E$13) + CHOOSE(CONTROL!$C$25, 0, 0)</f>
        <v>26.55</v>
      </c>
    </row>
    <row r="19" spans="1:5" ht="15">
      <c r="A19" s="13">
        <v>42430</v>
      </c>
      <c r="B19" s="4">
        <f>6.0109 * CHOOSE(CONTROL!$C$6, $C$13, 100%, $E$13) + CHOOSE(CONTROL!$C$25, 0.0003, 0)</f>
        <v>6.0112000000000005</v>
      </c>
      <c r="C19" s="4">
        <f>5.6984 * CHOOSE(CONTROL!$C$6, $C$13, 100%, $E$13) + CHOOSE(CONTROL!$C$25, 0.0003, 0)</f>
        <v>5.6987000000000005</v>
      </c>
      <c r="D19" s="4">
        <f>9.3549 * CHOOSE(CONTROL!$C$6, $C$13, 100%, $E$13) + CHOOSE(CONTROL!$C$25, 0, 0)</f>
        <v>9.3549000000000007</v>
      </c>
      <c r="E19" s="4">
        <f>31.48 * CHOOSE(CONTROL!$C$6, $C$13, 100%, $E$13) + CHOOSE(CONTROL!$C$25, 0, 0)</f>
        <v>31.48</v>
      </c>
    </row>
    <row r="20" spans="1:5" ht="15">
      <c r="A20" s="13">
        <v>42461</v>
      </c>
      <c r="B20" s="4">
        <f>6.3266 * CHOOSE(CONTROL!$C$6, $C$13, 100%, $E$13) + CHOOSE(CONTROL!$C$25, 0.0003, 0)</f>
        <v>6.3269000000000002</v>
      </c>
      <c r="C20" s="4">
        <f>6.0141 * CHOOSE(CONTROL!$C$6, $C$13, 100%, $E$13) + CHOOSE(CONTROL!$C$25, 0.0003, 0)</f>
        <v>6.0144000000000002</v>
      </c>
      <c r="D20" s="4">
        <f>10.1387 * CHOOSE(CONTROL!$C$6, $C$13, 100%, $E$13) + CHOOSE(CONTROL!$C$25, 0, 0)</f>
        <v>10.1387</v>
      </c>
      <c r="E20" s="4">
        <f>39.91 * CHOOSE(CONTROL!$C$6, $C$13, 100%, $E$13) + CHOOSE(CONTROL!$C$25, 0, 0)</f>
        <v>39.909999999999997</v>
      </c>
    </row>
    <row r="21" spans="1:5" ht="15">
      <c r="A21" s="13">
        <v>42491</v>
      </c>
      <c r="B21" s="4">
        <f>7.4734 * CHOOSE(CONTROL!$C$6, $C$13, 100%, $E$13) + CHOOSE(CONTROL!$C$25, 0.0238, 0)</f>
        <v>7.4971999999999994</v>
      </c>
      <c r="C21" s="4">
        <f>7.1609 * CHOOSE(CONTROL!$C$6, $C$13, 100%, $E$13) + CHOOSE(CONTROL!$C$25, 0.0238, 0)</f>
        <v>7.1846999999999994</v>
      </c>
      <c r="D21" s="4">
        <f>11.5298 * CHOOSE(CONTROL!$C$6, $C$13, 100%, $E$13) + CHOOSE(CONTROL!$C$25, 0, 0)</f>
        <v>11.5298</v>
      </c>
      <c r="E21" s="4">
        <f>42.63 * CHOOSE(CONTROL!$C$6, $C$13, 100%, $E$13) + CHOOSE(CONTROL!$C$25, 0, 0)</f>
        <v>42.63</v>
      </c>
    </row>
    <row r="22" spans="1:5" ht="15">
      <c r="A22" s="13">
        <v>42522</v>
      </c>
      <c r="B22" s="4">
        <f>8.0141 * CHOOSE(CONTROL!$C$6, $C$13, 100%, $E$13) + CHOOSE(CONTROL!$C$25, 0.0238, 0)</f>
        <v>8.0378999999999987</v>
      </c>
      <c r="C22" s="4">
        <f>7.7016 * CHOOSE(CONTROL!$C$6, $C$13, 100%, $E$13) + CHOOSE(CONTROL!$C$25, 0.0238, 0)</f>
        <v>7.7253999999999996</v>
      </c>
      <c r="D22" s="4">
        <f>12.3914 * CHOOSE(CONTROL!$C$6, $C$13, 100%, $E$13) + CHOOSE(CONTROL!$C$25, 0, 0)</f>
        <v>12.391400000000001</v>
      </c>
      <c r="E22" s="4">
        <f>47.75 * CHOOSE(CONTROL!$C$6, $C$13, 100%, $E$13) + CHOOSE(CONTROL!$C$25, 0, 0)</f>
        <v>47.75</v>
      </c>
    </row>
    <row r="23" spans="1:5" ht="15">
      <c r="A23" s="13">
        <v>42552</v>
      </c>
      <c r="B23" s="4">
        <f>8.0781 * CHOOSE(CONTROL!$C$6, $C$13, 100%, $E$13) + CHOOSE(CONTROL!$C$25, 0.0238, 0)</f>
        <v>8.1018999999999988</v>
      </c>
      <c r="C23" s="4">
        <f>7.7656 * CHOOSE(CONTROL!$C$6, $C$13, 100%, $E$13) + CHOOSE(CONTROL!$C$25, 0.0238, 0)</f>
        <v>7.7893999999999997</v>
      </c>
      <c r="D23" s="4">
        <f>12.2992 * CHOOSE(CONTROL!$C$6, $C$13, 100%, $E$13) + CHOOSE(CONTROL!$C$25, 0, 0)</f>
        <v>12.299200000000001</v>
      </c>
      <c r="E23" s="4">
        <f>48.85 * CHOOSE(CONTROL!$C$6, $C$13, 100%, $E$13) + CHOOSE(CONTROL!$C$25, 0, 0)</f>
        <v>48.85</v>
      </c>
    </row>
    <row r="24" spans="1:5" ht="15">
      <c r="A24" s="13">
        <v>42583</v>
      </c>
      <c r="B24" s="4">
        <f>8.2734 * CHOOSE(CONTROL!$C$6, $C$13, 100%, $E$13) + CHOOSE(CONTROL!$C$25, 0.0238, 0)</f>
        <v>8.2972000000000001</v>
      </c>
      <c r="C24" s="4">
        <f>7.9609 * CHOOSE(CONTROL!$C$6, $C$13, 100%, $E$13) + CHOOSE(CONTROL!$C$25, 0.0238, 0)</f>
        <v>7.9846999999999992</v>
      </c>
      <c r="D24" s="4">
        <f>12.0175 * CHOOSE(CONTROL!$C$6, $C$13, 100%, $E$13) + CHOOSE(CONTROL!$C$25, 0, 0)</f>
        <v>12.0175</v>
      </c>
      <c r="E24" s="4">
        <f>46.6 * CHOOSE(CONTROL!$C$6, $C$13, 100%, $E$13) + CHOOSE(CONTROL!$C$25, 0, 0)</f>
        <v>46.6</v>
      </c>
    </row>
    <row r="25" spans="1:5" ht="15">
      <c r="A25" s="13">
        <v>42614</v>
      </c>
      <c r="B25" s="4">
        <f>8.2969 * CHOOSE(CONTROL!$C$6, $C$13, 100%, $E$13) + CHOOSE(CONTROL!$C$25, 0.0238, 0)</f>
        <v>8.3207000000000004</v>
      </c>
      <c r="C25" s="4">
        <f>7.9844 * CHOOSE(CONTROL!$C$6, $C$13, 100%, $E$13) + CHOOSE(CONTROL!$C$25, 0.0238, 0)</f>
        <v>8.0082000000000004</v>
      </c>
      <c r="D25" s="4">
        <f>12.1739 * CHOOSE(CONTROL!$C$6, $C$13, 100%, $E$13) + CHOOSE(CONTROL!$C$25, 0, 0)</f>
        <v>12.1739</v>
      </c>
      <c r="E25" s="4">
        <f>47.29 * CHOOSE(CONTROL!$C$6, $C$13, 100%, $E$13) + CHOOSE(CONTROL!$C$25, 0, 0)</f>
        <v>47.29</v>
      </c>
    </row>
    <row r="26" spans="1:5" ht="15">
      <c r="A26" s="13">
        <v>42644</v>
      </c>
      <c r="B26" s="4">
        <f>8.3438 * CHOOSE(CONTROL!$C$6, $C$13, 100%, $E$13) + CHOOSE(CONTROL!$C$25, 0.0003, 0)</f>
        <v>8.3440999999999992</v>
      </c>
      <c r="C26" s="4">
        <f>8.0312 * CHOOSE(CONTROL!$C$6, $C$13, 100%, $E$13) + CHOOSE(CONTROL!$C$25, 0.0003, 0)</f>
        <v>8.0314999999999994</v>
      </c>
      <c r="D26" s="4">
        <f>12.3158 * CHOOSE(CONTROL!$C$6, $C$13, 100%, $E$13) + CHOOSE(CONTROL!$C$25, 0, 0)</f>
        <v>12.315799999999999</v>
      </c>
      <c r="E26" s="4">
        <f>47.91 * CHOOSE(CONTROL!$C$6, $C$13, 100%, $E$13) + CHOOSE(CONTROL!$C$25, 0, 0)</f>
        <v>47.91</v>
      </c>
    </row>
    <row r="27" spans="1:5" ht="15">
      <c r="A27" s="13">
        <v>42675</v>
      </c>
      <c r="B27" s="4">
        <f>8.3906 * CHOOSE(CONTROL!$C$6, $C$13, 100%, $E$13) + CHOOSE(CONTROL!$C$25, 0.0003, 0)</f>
        <v>8.3908999999999985</v>
      </c>
      <c r="C27" s="4">
        <f>8.0781 * CHOOSE(CONTROL!$C$6, $C$13, 100%, $E$13) + CHOOSE(CONTROL!$C$25, 0.0003, 0)</f>
        <v>8.0783999999999985</v>
      </c>
      <c r="D27" s="4">
        <f>12.4556 * CHOOSE(CONTROL!$C$6, $C$13, 100%, $E$13) + CHOOSE(CONTROL!$C$25, 0, 0)</f>
        <v>12.4556</v>
      </c>
      <c r="E27" s="4">
        <f>48.51 * CHOOSE(CONTROL!$C$6, $C$13, 100%, $E$13) + CHOOSE(CONTROL!$C$25, 0, 0)</f>
        <v>48.51</v>
      </c>
    </row>
    <row r="28" spans="1:5" ht="15">
      <c r="A28" s="13">
        <v>42705</v>
      </c>
      <c r="B28" s="4">
        <f>8.4375 * CHOOSE(CONTROL!$C$6, $C$13, 100%, $E$13) + CHOOSE(CONTROL!$C$25, 0.0003, 0)</f>
        <v>8.4377999999999993</v>
      </c>
      <c r="C28" s="4">
        <f>8.125 * CHOOSE(CONTROL!$C$6, $C$13, 100%, $E$13) + CHOOSE(CONTROL!$C$25, 0.0003, 0)</f>
        <v>8.1252999999999993</v>
      </c>
      <c r="D28" s="4">
        <f>12.5867 * CHOOSE(CONTROL!$C$6, $C$13, 100%, $E$13) + CHOOSE(CONTROL!$C$25, 0, 0)</f>
        <v>12.5867</v>
      </c>
      <c r="E28" s="4">
        <f>49.07 * CHOOSE(CONTROL!$C$6, $C$13, 100%, $E$13) + CHOOSE(CONTROL!$C$25, 0, 0)</f>
        <v>49.07</v>
      </c>
    </row>
    <row r="29" spans="1:5" ht="15">
      <c r="A29" s="13">
        <v>42736</v>
      </c>
      <c r="B29" s="4">
        <f>8.4922 * CHOOSE(CONTROL!$C$6, $C$13, 100%, $E$13) + CHOOSE(CONTROL!$C$25, 0.0003, 0)</f>
        <v>8.4924999999999997</v>
      </c>
      <c r="C29" s="4">
        <f>8.1797 * CHOOSE(CONTROL!$C$6, $C$13, 100%, $E$13) + CHOOSE(CONTROL!$C$25, 0.0003, 0)</f>
        <v>8.18</v>
      </c>
      <c r="D29" s="4">
        <f>12.7192 * CHOOSE(CONTROL!$C$6, $C$13, 100%, $E$13) + CHOOSE(CONTROL!$C$25, 0, 0)</f>
        <v>12.719200000000001</v>
      </c>
      <c r="E29" s="4">
        <f>49.54 * CHOOSE(CONTROL!$C$6, $C$13, 100%, $E$13) + CHOOSE(CONTROL!$C$25, 0, 0)</f>
        <v>49.54</v>
      </c>
    </row>
    <row r="30" spans="1:5" ht="15">
      <c r="A30" s="13">
        <v>42767</v>
      </c>
      <c r="B30" s="4">
        <f>8.5469 * CHOOSE(CONTROL!$C$6, $C$13, 100%, $E$13) + CHOOSE(CONTROL!$C$25, 0.0003, 0)</f>
        <v>8.5472000000000001</v>
      </c>
      <c r="C30" s="4">
        <f>8.2344 * CHOOSE(CONTROL!$C$6, $C$13, 100%, $E$13) + CHOOSE(CONTROL!$C$25, 0.0003, 0)</f>
        <v>8.2347000000000001</v>
      </c>
      <c r="D30" s="4">
        <f>12.8165 * CHOOSE(CONTROL!$C$6, $C$13, 100%, $E$13) + CHOOSE(CONTROL!$C$25, 0, 0)</f>
        <v>12.8165</v>
      </c>
      <c r="E30" s="4">
        <f>49.93 * CHOOSE(CONTROL!$C$6, $C$13, 100%, $E$13) + CHOOSE(CONTROL!$C$25, 0, 0)</f>
        <v>49.93</v>
      </c>
    </row>
    <row r="31" spans="1:5" ht="15">
      <c r="A31" s="13">
        <v>42795</v>
      </c>
      <c r="B31" s="4">
        <f>8.6016 * CHOOSE(CONTROL!$C$6, $C$13, 100%, $E$13) + CHOOSE(CONTROL!$C$25, 0.0003, 0)</f>
        <v>8.6018999999999988</v>
      </c>
      <c r="C31" s="4">
        <f>8.2891 * CHOOSE(CONTROL!$C$6, $C$13, 100%, $E$13) + CHOOSE(CONTROL!$C$25, 0.0003, 0)</f>
        <v>8.2893999999999988</v>
      </c>
      <c r="D31" s="4">
        <f>12.8611 * CHOOSE(CONTROL!$C$6, $C$13, 100%, $E$13) + CHOOSE(CONTROL!$C$25, 0, 0)</f>
        <v>12.8611</v>
      </c>
      <c r="E31" s="4">
        <f>50.26 * CHOOSE(CONTROL!$C$6, $C$13, 100%, $E$13) + CHOOSE(CONTROL!$C$25, 0, 0)</f>
        <v>50.26</v>
      </c>
    </row>
    <row r="32" spans="1:5" ht="15">
      <c r="A32" s="13">
        <v>42826</v>
      </c>
      <c r="B32" s="4">
        <f>8.6562 * CHOOSE(CONTROL!$C$6, $C$13, 100%, $E$13) + CHOOSE(CONTROL!$C$25, 0.0003, 0)</f>
        <v>8.6564999999999994</v>
      </c>
      <c r="C32" s="4">
        <f>8.3438 * CHOOSE(CONTROL!$C$6, $C$13, 100%, $E$13) + CHOOSE(CONTROL!$C$25, 0.0003, 0)</f>
        <v>8.3440999999999992</v>
      </c>
      <c r="D32" s="4">
        <f>12.8424 * CHOOSE(CONTROL!$C$6, $C$13, 100%, $E$13) + CHOOSE(CONTROL!$C$25, 0, 0)</f>
        <v>12.8424</v>
      </c>
      <c r="E32" s="4">
        <f>50.53 * CHOOSE(CONTROL!$C$6, $C$13, 100%, $E$13) + CHOOSE(CONTROL!$C$25, 0, 0)</f>
        <v>50.53</v>
      </c>
    </row>
    <row r="33" spans="1:5" ht="15">
      <c r="A33" s="13">
        <v>42856</v>
      </c>
      <c r="B33" s="4">
        <f>8.7031 * CHOOSE(CONTROL!$C$6, $C$13, 100%, $E$13) + CHOOSE(CONTROL!$C$25, 0.0238, 0)</f>
        <v>8.7268999999999988</v>
      </c>
      <c r="C33" s="4">
        <f>8.3906 * CHOOSE(CONTROL!$C$6, $C$13, 100%, $E$13) + CHOOSE(CONTROL!$C$25, 0.0238, 0)</f>
        <v>8.4143999999999988</v>
      </c>
      <c r="D33" s="4">
        <f>12.8489 * CHOOSE(CONTROL!$C$6, $C$13, 100%, $E$13) + CHOOSE(CONTROL!$C$25, 0, 0)</f>
        <v>12.8489</v>
      </c>
      <c r="E33" s="4">
        <f>50.77 * CHOOSE(CONTROL!$C$6, $C$13, 100%, $E$13) + CHOOSE(CONTROL!$C$25, 0, 0)</f>
        <v>50.77</v>
      </c>
    </row>
    <row r="34" spans="1:5" ht="15">
      <c r="A34" s="13">
        <v>42887</v>
      </c>
      <c r="B34" s="4">
        <f>8.75 * CHOOSE(CONTROL!$C$6, $C$13, 100%, $E$13) + CHOOSE(CONTROL!$C$25, 0.0238, 0)</f>
        <v>8.7737999999999996</v>
      </c>
      <c r="C34" s="4">
        <f>8.4375 * CHOOSE(CONTROL!$C$6, $C$13, 100%, $E$13) + CHOOSE(CONTROL!$C$25, 0.0238, 0)</f>
        <v>8.4612999999999996</v>
      </c>
      <c r="D34" s="4">
        <f>12.8763 * CHOOSE(CONTROL!$C$6, $C$13, 100%, $E$13) + CHOOSE(CONTROL!$C$25, 0, 0)</f>
        <v>12.876300000000001</v>
      </c>
      <c r="E34" s="4">
        <f>51 * CHOOSE(CONTROL!$C$6, $C$13, 100%, $E$13) + CHOOSE(CONTROL!$C$25, 0, 0)</f>
        <v>51</v>
      </c>
    </row>
    <row r="35" spans="1:5" ht="15">
      <c r="A35" s="13">
        <v>42917</v>
      </c>
      <c r="B35" s="4">
        <f>8.7969 * CHOOSE(CONTROL!$C$6, $C$13, 100%, $E$13) + CHOOSE(CONTROL!$C$25, 0.0238, 0)</f>
        <v>8.8207000000000004</v>
      </c>
      <c r="C35" s="4">
        <f>8.4844 * CHOOSE(CONTROL!$C$6, $C$13, 100%, $E$13) + CHOOSE(CONTROL!$C$25, 0.0238, 0)</f>
        <v>8.5082000000000004</v>
      </c>
      <c r="D35" s="4">
        <f>12.931 * CHOOSE(CONTROL!$C$6, $C$13, 100%, $E$13) + CHOOSE(CONTROL!$C$25, 0, 0)</f>
        <v>12.930999999999999</v>
      </c>
      <c r="E35" s="4">
        <f>51.2 * CHOOSE(CONTROL!$C$6, $C$13, 100%, $E$13) + CHOOSE(CONTROL!$C$25, 0, 0)</f>
        <v>51.2</v>
      </c>
    </row>
    <row r="36" spans="1:5" ht="15">
      <c r="A36" s="13">
        <v>42948</v>
      </c>
      <c r="B36" s="4">
        <f>8.8359 * CHOOSE(CONTROL!$C$6, $C$13, 100%, $E$13) + CHOOSE(CONTROL!$C$25, 0.0238, 0)</f>
        <v>8.8597000000000001</v>
      </c>
      <c r="C36" s="4">
        <f>8.5234 * CHOOSE(CONTROL!$C$6, $C$13, 100%, $E$13) + CHOOSE(CONTROL!$C$25, 0.0238, 0)</f>
        <v>8.5472000000000001</v>
      </c>
      <c r="D36" s="4">
        <f>12.9951 * CHOOSE(CONTROL!$C$6, $C$13, 100%, $E$13) + CHOOSE(CONTROL!$C$25, 0, 0)</f>
        <v>12.995100000000001</v>
      </c>
      <c r="E36" s="4">
        <f>51.39 * CHOOSE(CONTROL!$C$6, $C$13, 100%, $E$13) + CHOOSE(CONTROL!$C$25, 0, 0)</f>
        <v>51.39</v>
      </c>
    </row>
    <row r="37" spans="1:5" ht="15">
      <c r="A37" s="13">
        <v>42979</v>
      </c>
      <c r="B37" s="4">
        <f>8.875 * CHOOSE(CONTROL!$C$6, $C$13, 100%, $E$13) + CHOOSE(CONTROL!$C$25, 0.0238, 0)</f>
        <v>8.8987999999999996</v>
      </c>
      <c r="C37" s="4">
        <f>8.5625 * CHOOSE(CONTROL!$C$6, $C$13, 100%, $E$13) + CHOOSE(CONTROL!$C$25, 0.0238, 0)</f>
        <v>8.5862999999999996</v>
      </c>
      <c r="D37" s="4">
        <f>13.073 * CHOOSE(CONTROL!$C$6, $C$13, 100%, $E$13) + CHOOSE(CONTROL!$C$25, 0, 0)</f>
        <v>13.073</v>
      </c>
      <c r="E37" s="4">
        <f>51.58 * CHOOSE(CONTROL!$C$6, $C$13, 100%, $E$13) + CHOOSE(CONTROL!$C$25, 0, 0)</f>
        <v>51.58</v>
      </c>
    </row>
    <row r="38" spans="1:5" ht="15">
      <c r="A38" s="13">
        <v>43009</v>
      </c>
      <c r="B38" s="4">
        <f>8.9141 * CHOOSE(CONTROL!$C$6, $C$13, 100%, $E$13) + CHOOSE(CONTROL!$C$25, 0.0003, 0)</f>
        <v>8.9143999999999988</v>
      </c>
      <c r="C38" s="4">
        <f>8.6016 * CHOOSE(CONTROL!$C$6, $C$13, 100%, $E$13) + CHOOSE(CONTROL!$C$25, 0.0003, 0)</f>
        <v>8.6018999999999988</v>
      </c>
      <c r="D38" s="4">
        <f>13.1457 * CHOOSE(CONTROL!$C$6, $C$13, 100%, $E$13) + CHOOSE(CONTROL!$C$25, 0, 0)</f>
        <v>13.1457</v>
      </c>
      <c r="E38" s="4">
        <f>51.79 * CHOOSE(CONTROL!$C$6, $C$13, 100%, $E$13) + CHOOSE(CONTROL!$C$25, 0, 0)</f>
        <v>51.79</v>
      </c>
    </row>
    <row r="39" spans="1:5" ht="15">
      <c r="A39" s="13">
        <v>43040</v>
      </c>
      <c r="B39" s="4">
        <f>8.9531 * CHOOSE(CONTROL!$C$6, $C$13, 100%, $E$13) + CHOOSE(CONTROL!$C$25, 0.0003, 0)</f>
        <v>8.9533999999999985</v>
      </c>
      <c r="C39" s="4">
        <f>8.6406 * CHOOSE(CONTROL!$C$6, $C$13, 100%, $E$13) + CHOOSE(CONTROL!$C$25, 0.0003, 0)</f>
        <v>8.6408999999999985</v>
      </c>
      <c r="D39" s="4">
        <f>13.217 * CHOOSE(CONTROL!$C$6, $C$13, 100%, $E$13) + CHOOSE(CONTROL!$C$25, 0, 0)</f>
        <v>13.217000000000001</v>
      </c>
      <c r="E39" s="4">
        <f>52.03 * CHOOSE(CONTROL!$C$6, $C$13, 100%, $E$13) + CHOOSE(CONTROL!$C$25, 0, 0)</f>
        <v>52.03</v>
      </c>
    </row>
    <row r="40" spans="1:5" ht="15">
      <c r="A40" s="13">
        <v>43070</v>
      </c>
      <c r="B40" s="4">
        <f>8.9922 * CHOOSE(CONTROL!$C$6, $C$13, 100%, $E$13) + CHOOSE(CONTROL!$C$25, 0.0003, 0)</f>
        <v>8.9924999999999997</v>
      </c>
      <c r="C40" s="4">
        <f>8.6797 * CHOOSE(CONTROL!$C$6, $C$13, 100%, $E$13) + CHOOSE(CONTROL!$C$25, 0.0003, 0)</f>
        <v>8.68</v>
      </c>
      <c r="D40" s="4">
        <f>13.2747 * CHOOSE(CONTROL!$C$6, $C$13, 100%, $E$13) + CHOOSE(CONTROL!$C$25, 0, 0)</f>
        <v>13.274699999999999</v>
      </c>
      <c r="E40" s="4">
        <f>52.27 * CHOOSE(CONTROL!$C$6, $C$13, 100%, $E$13) + CHOOSE(CONTROL!$C$25, 0, 0)</f>
        <v>52.27</v>
      </c>
    </row>
    <row r="41" spans="1:5" ht="15">
      <c r="A41" s="13">
        <v>43101</v>
      </c>
      <c r="B41" s="4">
        <f>8.9422 * CHOOSE(CONTROL!$C$6, $C$13, 100%, $E$13) + CHOOSE(CONTROL!$C$25, 0.0003, 0)</f>
        <v>8.942499999999999</v>
      </c>
      <c r="C41" s="4">
        <f>8.6297 * CHOOSE(CONTROL!$C$6, $C$13, 100%, $E$13) + CHOOSE(CONTROL!$C$25, 0.0003, 0)</f>
        <v>8.629999999999999</v>
      </c>
      <c r="D41" s="4">
        <f>13.3251 * CHOOSE(CONTROL!$C$6, $C$13, 100%, $E$13) + CHOOSE(CONTROL!$C$25, 0, 0)</f>
        <v>13.325100000000001</v>
      </c>
      <c r="E41" s="4">
        <f>52.42 * CHOOSE(CONTROL!$C$6, $C$13, 100%, $E$13) + CHOOSE(CONTROL!$C$25, 0, 0)</f>
        <v>52.42</v>
      </c>
    </row>
    <row r="42" spans="1:5" ht="15">
      <c r="A42" s="13">
        <v>43132</v>
      </c>
      <c r="B42" s="4">
        <f>8.9578 * CHOOSE(CONTROL!$C$6, $C$13, 100%, $E$13) + CHOOSE(CONTROL!$C$25, 0.0003, 0)</f>
        <v>8.9581</v>
      </c>
      <c r="C42" s="4">
        <f>8.6453 * CHOOSE(CONTROL!$C$6, $C$13, 100%, $E$13) + CHOOSE(CONTROL!$C$25, 0.0003, 0)</f>
        <v>8.6456</v>
      </c>
      <c r="D42" s="4">
        <f>13.3359 * CHOOSE(CONTROL!$C$6, $C$13, 100%, $E$13) + CHOOSE(CONTROL!$C$25, 0, 0)</f>
        <v>13.335900000000001</v>
      </c>
      <c r="E42" s="4">
        <f>52.56 * CHOOSE(CONTROL!$C$6, $C$13, 100%, $E$13) + CHOOSE(CONTROL!$C$25, 0, 0)</f>
        <v>52.56</v>
      </c>
    </row>
    <row r="43" spans="1:5" ht="15">
      <c r="A43" s="13">
        <v>43160</v>
      </c>
      <c r="B43" s="4">
        <f>8.9797 * CHOOSE(CONTROL!$C$6, $C$13, 100%, $E$13) + CHOOSE(CONTROL!$C$25, 0.0003, 0)</f>
        <v>8.9799999999999986</v>
      </c>
      <c r="C43" s="4">
        <f>8.6672 * CHOOSE(CONTROL!$C$6, $C$13, 100%, $E$13) + CHOOSE(CONTROL!$C$25, 0.0003, 0)</f>
        <v>8.6674999999999986</v>
      </c>
      <c r="D43" s="4">
        <f>13.3179 * CHOOSE(CONTROL!$C$6, $C$13, 100%, $E$13) + CHOOSE(CONTROL!$C$25, 0, 0)</f>
        <v>13.3179</v>
      </c>
      <c r="E43" s="4">
        <f>52.68 * CHOOSE(CONTROL!$C$6, $C$13, 100%, $E$13) + CHOOSE(CONTROL!$C$25, 0, 0)</f>
        <v>52.68</v>
      </c>
    </row>
    <row r="44" spans="1:5" ht="15">
      <c r="A44" s="13">
        <v>43191</v>
      </c>
      <c r="B44" s="4">
        <f>9.0125 * CHOOSE(CONTROL!$C$6, $C$13, 100%, $E$13) + CHOOSE(CONTROL!$C$25, 0.0003, 0)</f>
        <v>9.0127999999999986</v>
      </c>
      <c r="C44" s="4">
        <f>8.7 * CHOOSE(CONTROL!$C$6, $C$13, 100%, $E$13) + CHOOSE(CONTROL!$C$25, 0.0003, 0)</f>
        <v>8.7002999999999986</v>
      </c>
      <c r="D44" s="4">
        <f>13.2783 * CHOOSE(CONTROL!$C$6, $C$13, 100%, $E$13) + CHOOSE(CONTROL!$C$25, 0, 0)</f>
        <v>13.2783</v>
      </c>
      <c r="E44" s="4">
        <f>52.81 * CHOOSE(CONTROL!$C$6, $C$13, 100%, $E$13) + CHOOSE(CONTROL!$C$25, 0, 0)</f>
        <v>52.81</v>
      </c>
    </row>
    <row r="45" spans="1:5" ht="15">
      <c r="A45" s="13">
        <v>43221</v>
      </c>
      <c r="B45" s="4">
        <f>9.0437 * CHOOSE(CONTROL!$C$6, $C$13, 100%, $E$13) + CHOOSE(CONTROL!$C$25, 0.0238, 0)</f>
        <v>9.067499999999999</v>
      </c>
      <c r="C45" s="4">
        <f>8.7312 * CHOOSE(CONTROL!$C$6, $C$13, 100%, $E$13) + CHOOSE(CONTROL!$C$25, 0.0238, 0)</f>
        <v>8.754999999999999</v>
      </c>
      <c r="D45" s="4">
        <f>13.2963 * CHOOSE(CONTROL!$C$6, $C$13, 100%, $E$13) + CHOOSE(CONTROL!$C$25, 0, 0)</f>
        <v>13.2963</v>
      </c>
      <c r="E45" s="4">
        <f>52.95 * CHOOSE(CONTROL!$C$6, $C$13, 100%, $E$13) + CHOOSE(CONTROL!$C$25, 0, 0)</f>
        <v>52.95</v>
      </c>
    </row>
    <row r="46" spans="1:5" ht="15">
      <c r="A46" s="13">
        <v>43252</v>
      </c>
      <c r="B46" s="4">
        <f>9.0766 * CHOOSE(CONTROL!$C$6, $C$13, 100%, $E$13) + CHOOSE(CONTROL!$C$25, 0.0238, 0)</f>
        <v>9.1003999999999987</v>
      </c>
      <c r="C46" s="4">
        <f>8.7641 * CHOOSE(CONTROL!$C$6, $C$13, 100%, $E$13) + CHOOSE(CONTROL!$C$25, 0.0238, 0)</f>
        <v>8.7878999999999987</v>
      </c>
      <c r="D46" s="4">
        <f>13.3395 * CHOOSE(CONTROL!$C$6, $C$13, 100%, $E$13) + CHOOSE(CONTROL!$C$25, 0, 0)</f>
        <v>13.339499999999999</v>
      </c>
      <c r="E46" s="4">
        <f>53.09 * CHOOSE(CONTROL!$C$6, $C$13, 100%, $E$13) + CHOOSE(CONTROL!$C$25, 0, 0)</f>
        <v>53.09</v>
      </c>
    </row>
    <row r="47" spans="1:5" ht="15">
      <c r="A47" s="13">
        <v>43282</v>
      </c>
      <c r="B47" s="4">
        <f>9.1094 * CHOOSE(CONTROL!$C$6, $C$13, 100%, $E$13) + CHOOSE(CONTROL!$C$25, 0.0238, 0)</f>
        <v>9.1332000000000004</v>
      </c>
      <c r="C47" s="4">
        <f>8.7969 * CHOOSE(CONTROL!$C$6, $C$13, 100%, $E$13) + CHOOSE(CONTROL!$C$25, 0.0238, 0)</f>
        <v>8.8207000000000004</v>
      </c>
      <c r="D47" s="4">
        <f>13.4079 * CHOOSE(CONTROL!$C$6, $C$13, 100%, $E$13) + CHOOSE(CONTROL!$C$25, 0, 0)</f>
        <v>13.4079</v>
      </c>
      <c r="E47" s="4">
        <f>53.2 * CHOOSE(CONTROL!$C$6, $C$13, 100%, $E$13) + CHOOSE(CONTROL!$C$25, 0, 0)</f>
        <v>53.2</v>
      </c>
    </row>
    <row r="48" spans="1:5" ht="15">
      <c r="A48" s="13">
        <v>43313</v>
      </c>
      <c r="B48" s="4">
        <f>9.1375 * CHOOSE(CONTROL!$C$6, $C$13, 100%, $E$13) + CHOOSE(CONTROL!$C$25, 0.0238, 0)</f>
        <v>9.1612999999999989</v>
      </c>
      <c r="C48" s="4">
        <f>8.825 * CHOOSE(CONTROL!$C$6, $C$13, 100%, $E$13) + CHOOSE(CONTROL!$C$25, 0.0238, 0)</f>
        <v>8.8487999999999989</v>
      </c>
      <c r="D48" s="4">
        <f>13.4872 * CHOOSE(CONTROL!$C$6, $C$13, 100%, $E$13) + CHOOSE(CONTROL!$C$25, 0, 0)</f>
        <v>13.4872</v>
      </c>
      <c r="E48" s="4">
        <f>53.32 * CHOOSE(CONTROL!$C$6, $C$13, 100%, $E$13) + CHOOSE(CONTROL!$C$25, 0, 0)</f>
        <v>53.32</v>
      </c>
    </row>
    <row r="49" spans="1:5" ht="15">
      <c r="A49" s="13">
        <v>43344</v>
      </c>
      <c r="B49" s="4">
        <f>9.1687 * CHOOSE(CONTROL!$C$6, $C$13, 100%, $E$13) + CHOOSE(CONTROL!$C$25, 0.0238, 0)</f>
        <v>9.192499999999999</v>
      </c>
      <c r="C49" s="4">
        <f>8.8562 * CHOOSE(CONTROL!$C$6, $C$13, 100%, $E$13) + CHOOSE(CONTROL!$C$25, 0.0238, 0)</f>
        <v>8.879999999999999</v>
      </c>
      <c r="D49" s="4">
        <f>13.5736 * CHOOSE(CONTROL!$C$6, $C$13, 100%, $E$13) + CHOOSE(CONTROL!$C$25, 0, 0)</f>
        <v>13.573600000000001</v>
      </c>
      <c r="E49" s="4">
        <f>53.46 * CHOOSE(CONTROL!$C$6, $C$13, 100%, $E$13) + CHOOSE(CONTROL!$C$25, 0, 0)</f>
        <v>53.46</v>
      </c>
    </row>
    <row r="50" spans="1:5" ht="15">
      <c r="A50" s="13">
        <v>43374</v>
      </c>
      <c r="B50" s="4">
        <f>9.1984 * CHOOSE(CONTROL!$C$6, $C$13, 100%, $E$13) + CHOOSE(CONTROL!$C$25, 0.0003, 0)</f>
        <v>9.1986999999999988</v>
      </c>
      <c r="C50" s="4">
        <f>8.8859 * CHOOSE(CONTROL!$C$6, $C$13, 100%, $E$13) + CHOOSE(CONTROL!$C$25, 0.0003, 0)</f>
        <v>8.8861999999999988</v>
      </c>
      <c r="D50" s="4">
        <f>13.6529 * CHOOSE(CONTROL!$C$6, $C$13, 100%, $E$13) + CHOOSE(CONTROL!$C$25, 0, 0)</f>
        <v>13.652900000000001</v>
      </c>
      <c r="E50" s="4">
        <f>53.61 * CHOOSE(CONTROL!$C$6, $C$13, 100%, $E$13) + CHOOSE(CONTROL!$C$25, 0, 0)</f>
        <v>53.61</v>
      </c>
    </row>
    <row r="51" spans="1:5" ht="15">
      <c r="A51" s="13">
        <v>43405</v>
      </c>
      <c r="B51" s="4">
        <f>9.2234 * CHOOSE(CONTROL!$C$6, $C$13, 100%, $E$13) + CHOOSE(CONTROL!$C$25, 0.0003, 0)</f>
        <v>9.2236999999999991</v>
      </c>
      <c r="C51" s="4">
        <f>8.9109 * CHOOSE(CONTROL!$C$6, $C$13, 100%, $E$13) + CHOOSE(CONTROL!$C$25, 0.0003, 0)</f>
        <v>8.9111999999999991</v>
      </c>
      <c r="D51" s="4">
        <f>13.7213 * CHOOSE(CONTROL!$C$6, $C$13, 100%, $E$13) + CHOOSE(CONTROL!$C$25, 0, 0)</f>
        <v>13.721299999999999</v>
      </c>
      <c r="E51" s="4">
        <f>53.76 * CHOOSE(CONTROL!$C$6, $C$13, 100%, $E$13) + CHOOSE(CONTROL!$C$25, 0, 0)</f>
        <v>53.76</v>
      </c>
    </row>
    <row r="52" spans="1:5" ht="15">
      <c r="A52" s="13">
        <v>43435</v>
      </c>
      <c r="B52" s="4">
        <f>9.25 * CHOOSE(CONTROL!$C$6, $C$13, 100%, $E$13) + CHOOSE(CONTROL!$C$25, 0.0003, 0)</f>
        <v>9.2502999999999993</v>
      </c>
      <c r="C52" s="4">
        <f>8.9375 * CHOOSE(CONTROL!$C$6, $C$13, 100%, $E$13) + CHOOSE(CONTROL!$C$25, 0.0003, 0)</f>
        <v>8.9377999999999993</v>
      </c>
      <c r="D52" s="4">
        <f>13.779 * CHOOSE(CONTROL!$C$6, $C$13, 100%, $E$13) + CHOOSE(CONTROL!$C$25, 0, 0)</f>
        <v>13.779</v>
      </c>
      <c r="E52" s="4">
        <f>53.92 * CHOOSE(CONTROL!$C$6, $C$13, 100%, $E$13) + CHOOSE(CONTROL!$C$25, 0, 0)</f>
        <v>53.92</v>
      </c>
    </row>
    <row r="53" spans="1:5" ht="15">
      <c r="A53" s="13">
        <v>43466</v>
      </c>
      <c r="B53" s="4">
        <f>9.8731 * CHOOSE(CONTROL!$C$6, $C$13, 100%, $E$13) + CHOOSE(CONTROL!$C$25, 0.0003, 0)</f>
        <v>9.8734000000000002</v>
      </c>
      <c r="C53" s="4">
        <f>9.5606 * CHOOSE(CONTROL!$C$6, $C$13, 100%, $E$13) + CHOOSE(CONTROL!$C$25, 0.0003, 0)</f>
        <v>9.5609000000000002</v>
      </c>
      <c r="D53" s="4">
        <f>14.4165 * CHOOSE(CONTROL!$C$6, $C$13, 100%, $E$13) + CHOOSE(CONTROL!$C$25, 0, 0)</f>
        <v>14.416499999999999</v>
      </c>
      <c r="E53" s="4">
        <f>56.4922670569591 * CHOOSE(CONTROL!$C$6, $C$13, 100%, $E$13) + CHOOSE(CONTROL!$C$25, 0, 0)</f>
        <v>56.492267056959101</v>
      </c>
    </row>
    <row r="54" spans="1:5" ht="15">
      <c r="A54" s="13">
        <v>43497</v>
      </c>
      <c r="B54" s="4">
        <f>10.063 * CHOOSE(CONTROL!$C$6, $C$13, 100%, $E$13) + CHOOSE(CONTROL!$C$25, 0.0003, 0)</f>
        <v>10.0633</v>
      </c>
      <c r="C54" s="4">
        <f>9.7505 * CHOOSE(CONTROL!$C$6, $C$13, 100%, $E$13) + CHOOSE(CONTROL!$C$25, 0.0003, 0)</f>
        <v>9.7507999999999999</v>
      </c>
      <c r="D54" s="4">
        <f>14.8687 * CHOOSE(CONTROL!$C$6, $C$13, 100%, $E$13) + CHOOSE(CONTROL!$C$25, 0, 0)</f>
        <v>14.8687</v>
      </c>
      <c r="E54" s="4">
        <f>57.8336161077999 * CHOOSE(CONTROL!$C$6, $C$13, 100%, $E$13) + CHOOSE(CONTROL!$C$25, 0, 0)</f>
        <v>57.833616107799898</v>
      </c>
    </row>
    <row r="55" spans="1:5" ht="15">
      <c r="A55" s="13">
        <v>43525</v>
      </c>
      <c r="B55" s="4">
        <f>10.5618 * CHOOSE(CONTROL!$C$6, $C$13, 100%, $E$13) + CHOOSE(CONTROL!$C$25, 0.0003, 0)</f>
        <v>10.562099999999999</v>
      </c>
      <c r="C55" s="4">
        <f>10.2493 * CHOOSE(CONTROL!$C$6, $C$13, 100%, $E$13) + CHOOSE(CONTROL!$C$25, 0.0003, 0)</f>
        <v>10.249599999999999</v>
      </c>
      <c r="D55" s="4">
        <f>15.5766 * CHOOSE(CONTROL!$C$6, $C$13, 100%, $E$13) + CHOOSE(CONTROL!$C$25, 0, 0)</f>
        <v>15.576599999999999</v>
      </c>
      <c r="E55" s="4">
        <f>61.3560699989255 * CHOOSE(CONTROL!$C$6, $C$13, 100%, $E$13) + CHOOSE(CONTROL!$C$25, 0, 0)</f>
        <v>61.356069998925499</v>
      </c>
    </row>
    <row r="56" spans="1:5" ht="15">
      <c r="A56" s="13">
        <v>43556</v>
      </c>
      <c r="B56" s="4">
        <f>10.9161 * CHOOSE(CONTROL!$C$6, $C$13, 100%, $E$13) + CHOOSE(CONTROL!$C$25, 0.0003, 0)</f>
        <v>10.916399999999999</v>
      </c>
      <c r="C56" s="4">
        <f>10.6036 * CHOOSE(CONTROL!$C$6, $C$13, 100%, $E$13) + CHOOSE(CONTROL!$C$25, 0.0003, 0)</f>
        <v>10.603899999999999</v>
      </c>
      <c r="D56" s="4">
        <f>15.9844 * CHOOSE(CONTROL!$C$6, $C$13, 100%, $E$13) + CHOOSE(CONTROL!$C$25, 0, 0)</f>
        <v>15.984400000000001</v>
      </c>
      <c r="E56" s="4">
        <f>63.8588204314405 * CHOOSE(CONTROL!$C$6, $C$13, 100%, $E$13) + CHOOSE(CONTROL!$C$25, 0, 0)</f>
        <v>63.858820431440499</v>
      </c>
    </row>
    <row r="57" spans="1:5" ht="15">
      <c r="A57" s="13">
        <v>43586</v>
      </c>
      <c r="B57" s="4">
        <f>11.1326 * CHOOSE(CONTROL!$C$6, $C$13, 100%, $E$13) + CHOOSE(CONTROL!$C$25, 0.0238, 0)</f>
        <v>11.1564</v>
      </c>
      <c r="C57" s="4">
        <f>10.8201 * CHOOSE(CONTROL!$C$6, $C$13, 100%, $E$13) + CHOOSE(CONTROL!$C$25, 0.0238, 0)</f>
        <v>10.8439</v>
      </c>
      <c r="D57" s="4">
        <f>15.8233 * CHOOSE(CONTROL!$C$6, $C$13, 100%, $E$13) + CHOOSE(CONTROL!$C$25, 0, 0)</f>
        <v>15.8233</v>
      </c>
      <c r="E57" s="4">
        <f>65.3879409631508 * CHOOSE(CONTROL!$C$6, $C$13, 100%, $E$13) + CHOOSE(CONTROL!$C$25, 0, 0)</f>
        <v>65.387940963150797</v>
      </c>
    </row>
    <row r="58" spans="1:5" ht="15">
      <c r="A58" s="13">
        <v>43617</v>
      </c>
      <c r="B58" s="4">
        <f>11.1619 * CHOOSE(CONTROL!$C$6, $C$13, 100%, $E$13) + CHOOSE(CONTROL!$C$25, 0.0238, 0)</f>
        <v>11.185699999999999</v>
      </c>
      <c r="C58" s="4">
        <f>10.8494 * CHOOSE(CONTROL!$C$6, $C$13, 100%, $E$13) + CHOOSE(CONTROL!$C$25, 0.0238, 0)</f>
        <v>10.873199999999999</v>
      </c>
      <c r="D58" s="4">
        <f>15.9545 * CHOOSE(CONTROL!$C$6, $C$13, 100%, $E$13) + CHOOSE(CONTROL!$C$25, 0, 0)</f>
        <v>15.954499999999999</v>
      </c>
      <c r="E58" s="4">
        <f>65.5948373170718 * CHOOSE(CONTROL!$C$6, $C$13, 100%, $E$13) + CHOOSE(CONTROL!$C$25, 0, 0)</f>
        <v>65.594837317071807</v>
      </c>
    </row>
    <row r="59" spans="1:5" ht="15">
      <c r="A59" s="13">
        <v>43647</v>
      </c>
      <c r="B59" s="4">
        <f>11.1589 * CHOOSE(CONTROL!$C$6, $C$13, 100%, $E$13) + CHOOSE(CONTROL!$C$25, 0.0238, 0)</f>
        <v>11.182699999999999</v>
      </c>
      <c r="C59" s="4">
        <f>10.8464 * CHOOSE(CONTROL!$C$6, $C$13, 100%, $E$13) + CHOOSE(CONTROL!$C$25, 0.0238, 0)</f>
        <v>10.870199999999999</v>
      </c>
      <c r="D59" s="4">
        <f>16.1913 * CHOOSE(CONTROL!$C$6, $C$13, 100%, $E$13) + CHOOSE(CONTROL!$C$25, 0, 0)</f>
        <v>16.191299999999998</v>
      </c>
      <c r="E59" s="4">
        <f>65.5739738191974 * CHOOSE(CONTROL!$C$6, $C$13, 100%, $E$13) + CHOOSE(CONTROL!$C$25, 0, 0)</f>
        <v>65.573973819197406</v>
      </c>
    </row>
    <row r="60" spans="1:5" ht="15">
      <c r="A60" s="13">
        <v>43678</v>
      </c>
      <c r="B60" s="4">
        <f>11.3812 * CHOOSE(CONTROL!$C$6, $C$13, 100%, $E$13) + CHOOSE(CONTROL!$C$25, 0.0238, 0)</f>
        <v>11.404999999999999</v>
      </c>
      <c r="C60" s="4">
        <f>11.0687 * CHOOSE(CONTROL!$C$6, $C$13, 100%, $E$13) + CHOOSE(CONTROL!$C$25, 0.0238, 0)</f>
        <v>11.092499999999999</v>
      </c>
      <c r="D60" s="4">
        <f>16.0349 * CHOOSE(CONTROL!$C$6, $C$13, 100%, $E$13) + CHOOSE(CONTROL!$C$25, 0, 0)</f>
        <v>16.0349</v>
      </c>
      <c r="E60" s="4">
        <f>67.143952034245 * CHOOSE(CONTROL!$C$6, $C$13, 100%, $E$13) + CHOOSE(CONTROL!$C$25, 0, 0)</f>
        <v>67.143952034245004</v>
      </c>
    </row>
    <row r="61" spans="1:5" ht="15">
      <c r="A61" s="13">
        <v>43709</v>
      </c>
      <c r="B61" s="4">
        <f>11.0024 * CHOOSE(CONTROL!$C$6, $C$13, 100%, $E$13) + CHOOSE(CONTROL!$C$25, 0.0238, 0)</f>
        <v>11.026199999999999</v>
      </c>
      <c r="C61" s="4">
        <f>10.6899 * CHOOSE(CONTROL!$C$6, $C$13, 100%, $E$13) + CHOOSE(CONTROL!$C$25, 0.0238, 0)</f>
        <v>10.713699999999999</v>
      </c>
      <c r="D61" s="4">
        <f>15.961 * CHOOSE(CONTROL!$C$6, $C$13, 100%, $E$13) + CHOOSE(CONTROL!$C$25, 0, 0)</f>
        <v>15.961</v>
      </c>
      <c r="E61" s="4">
        <f>64.4682084318549 * CHOOSE(CONTROL!$C$6, $C$13, 100%, $E$13) + CHOOSE(CONTROL!$C$25, 0, 0)</f>
        <v>64.468208431854904</v>
      </c>
    </row>
    <row r="62" spans="1:5" ht="15">
      <c r="A62" s="13">
        <v>43739</v>
      </c>
      <c r="B62" s="4">
        <f>10.6991 * CHOOSE(CONTROL!$C$6, $C$13, 100%, $E$13) + CHOOSE(CONTROL!$C$25, 0.0003, 0)</f>
        <v>10.699399999999999</v>
      </c>
      <c r="C62" s="4">
        <f>10.3866 * CHOOSE(CONTROL!$C$6, $C$13, 100%, $E$13) + CHOOSE(CONTROL!$C$25, 0.0003, 0)</f>
        <v>10.386899999999999</v>
      </c>
      <c r="D62" s="4">
        <f>15.7632 * CHOOSE(CONTROL!$C$6, $C$13, 100%, $E$13) + CHOOSE(CONTROL!$C$25, 0, 0)</f>
        <v>15.763199999999999</v>
      </c>
      <c r="E62" s="4">
        <f>62.3262226500845 * CHOOSE(CONTROL!$C$6, $C$13, 100%, $E$13) + CHOOSE(CONTROL!$C$25, 0, 0)</f>
        <v>62.326222650084503</v>
      </c>
    </row>
    <row r="63" spans="1:5" ht="15">
      <c r="A63" s="13">
        <v>43770</v>
      </c>
      <c r="B63" s="4">
        <f>10.5038 * CHOOSE(CONTROL!$C$6, $C$13, 100%, $E$13) + CHOOSE(CONTROL!$C$25, 0.0003, 0)</f>
        <v>10.504099999999999</v>
      </c>
      <c r="C63" s="4">
        <f>10.1913 * CHOOSE(CONTROL!$C$6, $C$13, 100%, $E$13) + CHOOSE(CONTROL!$C$25, 0.0003, 0)</f>
        <v>10.191599999999999</v>
      </c>
      <c r="D63" s="4">
        <f>15.6952 * CHOOSE(CONTROL!$C$6, $C$13, 100%, $E$13) + CHOOSE(CONTROL!$C$25, 0, 0)</f>
        <v>15.6952</v>
      </c>
      <c r="E63" s="4">
        <f>60.9466238531407 * CHOOSE(CONTROL!$C$6, $C$13, 100%, $E$13) + CHOOSE(CONTROL!$C$25, 0, 0)</f>
        <v>60.9466238531407</v>
      </c>
    </row>
    <row r="64" spans="1:5" ht="15">
      <c r="A64" s="13">
        <v>43800</v>
      </c>
      <c r="B64" s="4">
        <f>10.3686 * CHOOSE(CONTROL!$C$6, $C$13, 100%, $E$13) + CHOOSE(CONTROL!$C$25, 0.0003, 0)</f>
        <v>10.3689</v>
      </c>
      <c r="C64" s="4">
        <f>10.0561 * CHOOSE(CONTROL!$C$6, $C$13, 100%, $E$13) + CHOOSE(CONTROL!$C$25, 0.0003, 0)</f>
        <v>10.0564</v>
      </c>
      <c r="D64" s="4">
        <f>15.1945 * CHOOSE(CONTROL!$C$6, $C$13, 100%, $E$13) + CHOOSE(CONTROL!$C$25, 0, 0)</f>
        <v>15.1945</v>
      </c>
      <c r="E64" s="4">
        <f>59.9921188253875 * CHOOSE(CONTROL!$C$6, $C$13, 100%, $E$13) + CHOOSE(CONTROL!$C$25, 0, 0)</f>
        <v>59.9921188253875</v>
      </c>
    </row>
    <row r="65" spans="1:5" ht="15">
      <c r="A65" s="13">
        <v>43831</v>
      </c>
      <c r="B65" s="4">
        <f>10.3422 * CHOOSE(CONTROL!$C$6, $C$13, 100%, $E$13) + CHOOSE(CONTROL!$C$25, 0.0003, 0)</f>
        <v>10.342499999999999</v>
      </c>
      <c r="C65" s="4">
        <f>10.0297 * CHOOSE(CONTROL!$C$6, $C$13, 100%, $E$13) + CHOOSE(CONTROL!$C$25, 0.0003, 0)</f>
        <v>10.029999999999999</v>
      </c>
      <c r="D65" s="4">
        <f>15.0105 * CHOOSE(CONTROL!$C$6, $C$13, 100%, $E$13) + CHOOSE(CONTROL!$C$25, 0, 0)</f>
        <v>15.0105</v>
      </c>
      <c r="E65" s="4">
        <f>59.2004533596755 * CHOOSE(CONTROL!$C$6, $C$13, 100%, $E$13) + CHOOSE(CONTROL!$C$25, 0, 0)</f>
        <v>59.2004533596755</v>
      </c>
    </row>
    <row r="66" spans="1:5" ht="15">
      <c r="A66" s="13">
        <v>43862</v>
      </c>
      <c r="B66" s="4">
        <f>10.5433 * CHOOSE(CONTROL!$C$6, $C$13, 100%, $E$13) + CHOOSE(CONTROL!$C$25, 0.0003, 0)</f>
        <v>10.5436</v>
      </c>
      <c r="C66" s="4">
        <f>10.2308 * CHOOSE(CONTROL!$C$6, $C$13, 100%, $E$13) + CHOOSE(CONTROL!$C$25, 0.0003, 0)</f>
        <v>10.2311</v>
      </c>
      <c r="D66" s="4">
        <f>15.4837 * CHOOSE(CONTROL!$C$6, $C$13, 100%, $E$13) + CHOOSE(CONTROL!$C$25, 0, 0)</f>
        <v>15.483700000000001</v>
      </c>
      <c r="E66" s="4">
        <f>60.6061054260598 * CHOOSE(CONTROL!$C$6, $C$13, 100%, $E$13) + CHOOSE(CONTROL!$C$25, 0, 0)</f>
        <v>60.606105426059798</v>
      </c>
    </row>
    <row r="67" spans="1:5" ht="15">
      <c r="A67" s="13">
        <v>43891</v>
      </c>
      <c r="B67" s="4">
        <f>11.0712 * CHOOSE(CONTROL!$C$6, $C$13, 100%, $E$13) + CHOOSE(CONTROL!$C$25, 0.0003, 0)</f>
        <v>11.071499999999999</v>
      </c>
      <c r="C67" s="4">
        <f>10.7587 * CHOOSE(CONTROL!$C$6, $C$13, 100%, $E$13) + CHOOSE(CONTROL!$C$25, 0.0003, 0)</f>
        <v>10.758999999999999</v>
      </c>
      <c r="D67" s="4">
        <f>16.2245 * CHOOSE(CONTROL!$C$6, $C$13, 100%, $E$13) + CHOOSE(CONTROL!$C$25, 0, 0)</f>
        <v>16.224499999999999</v>
      </c>
      <c r="E67" s="4">
        <f>64.2974224532723 * CHOOSE(CONTROL!$C$6, $C$13, 100%, $E$13) + CHOOSE(CONTROL!$C$25, 0, 0)</f>
        <v>64.297422453272304</v>
      </c>
    </row>
    <row r="68" spans="1:5" ht="15">
      <c r="A68" s="13">
        <v>43922</v>
      </c>
      <c r="B68" s="4">
        <f>11.4463 * CHOOSE(CONTROL!$C$6, $C$13, 100%, $E$13) + CHOOSE(CONTROL!$C$25, 0.0003, 0)</f>
        <v>11.4466</v>
      </c>
      <c r="C68" s="4">
        <f>11.1338 * CHOOSE(CONTROL!$C$6, $C$13, 100%, $E$13) + CHOOSE(CONTROL!$C$25, 0.0003, 0)</f>
        <v>11.1341</v>
      </c>
      <c r="D68" s="4">
        <f>16.6512 * CHOOSE(CONTROL!$C$6, $C$13, 100%, $E$13) + CHOOSE(CONTROL!$C$25, 0, 0)</f>
        <v>16.651199999999999</v>
      </c>
      <c r="E68" s="4">
        <f>66.9201523943742 * CHOOSE(CONTROL!$C$6, $C$13, 100%, $E$13) + CHOOSE(CONTROL!$C$25, 0, 0)</f>
        <v>66.920152394374199</v>
      </c>
    </row>
    <row r="69" spans="1:5" ht="15">
      <c r="A69" s="13">
        <v>43952</v>
      </c>
      <c r="B69" s="4">
        <f>11.6755 * CHOOSE(CONTROL!$C$6, $C$13, 100%, $E$13) + CHOOSE(CONTROL!$C$25, 0.0238, 0)</f>
        <v>11.699299999999999</v>
      </c>
      <c r="C69" s="4">
        <f>11.363 * CHOOSE(CONTROL!$C$6, $C$13, 100%, $E$13) + CHOOSE(CONTROL!$C$25, 0.0238, 0)</f>
        <v>11.386799999999999</v>
      </c>
      <c r="D69" s="4">
        <f>16.4826 * CHOOSE(CONTROL!$C$6, $C$13, 100%, $E$13) + CHOOSE(CONTROL!$C$25, 0, 0)</f>
        <v>16.482600000000001</v>
      </c>
      <c r="E69" s="4">
        <f>68.5225775303235 * CHOOSE(CONTROL!$C$6, $C$13, 100%, $E$13) + CHOOSE(CONTROL!$C$25, 0, 0)</f>
        <v>68.522577530323503</v>
      </c>
    </row>
    <row r="70" spans="1:5" ht="15">
      <c r="A70" s="13">
        <v>43983</v>
      </c>
      <c r="B70" s="4">
        <f>11.7065 * CHOOSE(CONTROL!$C$6, $C$13, 100%, $E$13) + CHOOSE(CONTROL!$C$25, 0.0238, 0)</f>
        <v>11.7303</v>
      </c>
      <c r="C70" s="4">
        <f>11.394 * CHOOSE(CONTROL!$C$6, $C$13, 100%, $E$13) + CHOOSE(CONTROL!$C$25, 0.0238, 0)</f>
        <v>11.4178</v>
      </c>
      <c r="D70" s="4">
        <f>16.6199 * CHOOSE(CONTROL!$C$6, $C$13, 100%, $E$13) + CHOOSE(CONTROL!$C$25, 0, 0)</f>
        <v>16.619900000000001</v>
      </c>
      <c r="E70" s="4">
        <f>68.7393923014184 * CHOOSE(CONTROL!$C$6, $C$13, 100%, $E$13) + CHOOSE(CONTROL!$C$25, 0, 0)</f>
        <v>68.739392301418405</v>
      </c>
    </row>
    <row r="71" spans="1:5" ht="15">
      <c r="A71" s="13">
        <v>44013</v>
      </c>
      <c r="B71" s="4">
        <f>11.7034 * CHOOSE(CONTROL!$C$6, $C$13, 100%, $E$13) + CHOOSE(CONTROL!$C$25, 0.0238, 0)</f>
        <v>11.7272</v>
      </c>
      <c r="C71" s="4">
        <f>11.3909 * CHOOSE(CONTROL!$C$6, $C$13, 100%, $E$13) + CHOOSE(CONTROL!$C$25, 0.0238, 0)</f>
        <v>11.4147</v>
      </c>
      <c r="D71" s="4">
        <f>16.8676 * CHOOSE(CONTROL!$C$6, $C$13, 100%, $E$13) + CHOOSE(CONTROL!$C$25, 0, 0)</f>
        <v>16.867599999999999</v>
      </c>
      <c r="E71" s="4">
        <f>68.7175286270223 * CHOOSE(CONTROL!$C$6, $C$13, 100%, $E$13) + CHOOSE(CONTROL!$C$25, 0, 0)</f>
        <v>68.717528627022304</v>
      </c>
    </row>
    <row r="72" spans="1:5" ht="15">
      <c r="A72" s="13">
        <v>44044</v>
      </c>
      <c r="B72" s="4">
        <f>11.9387 * CHOOSE(CONTROL!$C$6, $C$13, 100%, $E$13) + CHOOSE(CONTROL!$C$25, 0.0238, 0)</f>
        <v>11.9625</v>
      </c>
      <c r="C72" s="4">
        <f>11.6262 * CHOOSE(CONTROL!$C$6, $C$13, 100%, $E$13) + CHOOSE(CONTROL!$C$25, 0.0238, 0)</f>
        <v>11.65</v>
      </c>
      <c r="D72" s="4">
        <f>16.704 * CHOOSE(CONTROL!$C$6, $C$13, 100%, $E$13) + CHOOSE(CONTROL!$C$25, 0, 0)</f>
        <v>16.704000000000001</v>
      </c>
      <c r="E72" s="4">
        <f>70.3627701253307 * CHOOSE(CONTROL!$C$6, $C$13, 100%, $E$13) + CHOOSE(CONTROL!$C$25, 0, 0)</f>
        <v>70.362770125330698</v>
      </c>
    </row>
    <row r="73" spans="1:5" ht="15">
      <c r="A73" s="13">
        <v>44075</v>
      </c>
      <c r="B73" s="4">
        <f>11.5377 * CHOOSE(CONTROL!$C$6, $C$13, 100%, $E$13) + CHOOSE(CONTROL!$C$25, 0.0238, 0)</f>
        <v>11.561499999999999</v>
      </c>
      <c r="C73" s="4">
        <f>11.2252 * CHOOSE(CONTROL!$C$6, $C$13, 100%, $E$13) + CHOOSE(CONTROL!$C$25, 0.0238, 0)</f>
        <v>11.248999999999999</v>
      </c>
      <c r="D73" s="4">
        <f>16.6267 * CHOOSE(CONTROL!$C$6, $C$13, 100%, $E$13) + CHOOSE(CONTROL!$C$25, 0, 0)</f>
        <v>16.6267</v>
      </c>
      <c r="E73" s="4">
        <f>67.5587538840277 * CHOOSE(CONTROL!$C$6, $C$13, 100%, $E$13) + CHOOSE(CONTROL!$C$25, 0, 0)</f>
        <v>67.558753884027695</v>
      </c>
    </row>
    <row r="74" spans="1:5" ht="15">
      <c r="A74" s="13">
        <v>44105</v>
      </c>
      <c r="B74" s="4">
        <f>11.2166 * CHOOSE(CONTROL!$C$6, $C$13, 100%, $E$13) + CHOOSE(CONTROL!$C$25, 0.0003, 0)</f>
        <v>11.216899999999999</v>
      </c>
      <c r="C74" s="4">
        <f>10.9041 * CHOOSE(CONTROL!$C$6, $C$13, 100%, $E$13) + CHOOSE(CONTROL!$C$25, 0.0003, 0)</f>
        <v>10.904399999999999</v>
      </c>
      <c r="D74" s="4">
        <f>16.4197 * CHOOSE(CONTROL!$C$6, $C$13, 100%, $E$13) + CHOOSE(CONTROL!$C$25, 0, 0)</f>
        <v>16.419699999999999</v>
      </c>
      <c r="E74" s="4">
        <f>65.3140833126921 * CHOOSE(CONTROL!$C$6, $C$13, 100%, $E$13) + CHOOSE(CONTROL!$C$25, 0, 0)</f>
        <v>65.314083312692105</v>
      </c>
    </row>
    <row r="75" spans="1:5" ht="15">
      <c r="A75" s="13">
        <v>44136</v>
      </c>
      <c r="B75" s="4">
        <f>11.0098 * CHOOSE(CONTROL!$C$6, $C$13, 100%, $E$13) + CHOOSE(CONTROL!$C$25, 0.0003, 0)</f>
        <v>11.0101</v>
      </c>
      <c r="C75" s="4">
        <f>10.6973 * CHOOSE(CONTROL!$C$6, $C$13, 100%, $E$13) + CHOOSE(CONTROL!$C$25, 0.0003, 0)</f>
        <v>10.6976</v>
      </c>
      <c r="D75" s="4">
        <f>16.3485 * CHOOSE(CONTROL!$C$6, $C$13, 100%, $E$13) + CHOOSE(CONTROL!$C$25, 0, 0)</f>
        <v>16.348500000000001</v>
      </c>
      <c r="E75" s="4">
        <f>63.8683478432483 * CHOOSE(CONTROL!$C$6, $C$13, 100%, $E$13) + CHOOSE(CONTROL!$C$25, 0, 0)</f>
        <v>63.868347843248301</v>
      </c>
    </row>
    <row r="76" spans="1:5" ht="15">
      <c r="A76" s="13">
        <v>44166</v>
      </c>
      <c r="B76" s="4">
        <f>10.8668 * CHOOSE(CONTROL!$C$6, $C$13, 100%, $E$13) + CHOOSE(CONTROL!$C$25, 0.0003, 0)</f>
        <v>10.867099999999999</v>
      </c>
      <c r="C76" s="4">
        <f>10.5543 * CHOOSE(CONTROL!$C$6, $C$13, 100%, $E$13) + CHOOSE(CONTROL!$C$25, 0.0003, 0)</f>
        <v>10.554599999999999</v>
      </c>
      <c r="D76" s="4">
        <f>15.8246 * CHOOSE(CONTROL!$C$6, $C$13, 100%, $E$13) + CHOOSE(CONTROL!$C$25, 0, 0)</f>
        <v>15.8246</v>
      </c>
      <c r="E76" s="4">
        <f>62.8680847396256 * CHOOSE(CONTROL!$C$6, $C$13, 100%, $E$13) + CHOOSE(CONTROL!$C$25, 0, 0)</f>
        <v>62.868084739625601</v>
      </c>
    </row>
    <row r="77" spans="1:5" ht="15">
      <c r="A77" s="13">
        <v>44197</v>
      </c>
      <c r="B77" s="4">
        <f>12.6767 * CHOOSE(CONTROL!$C$6, $C$13, 100%, $E$13) + CHOOSE(CONTROL!$C$25, 0.0003, 0)</f>
        <v>12.677</v>
      </c>
      <c r="C77" s="4">
        <f>12.3642 * CHOOSE(CONTROL!$C$6, $C$13, 100%, $E$13) + CHOOSE(CONTROL!$C$25, 0.0003, 0)</f>
        <v>12.3645</v>
      </c>
      <c r="D77" s="4">
        <f>17.4537 * CHOOSE(CONTROL!$C$6, $C$13, 100%, $E$13) + CHOOSE(CONTROL!$C$25, 0, 0)</f>
        <v>17.453700000000001</v>
      </c>
      <c r="E77" s="4">
        <f>71.6836971259149 * CHOOSE(CONTROL!$C$6, $C$13, 100%, $E$13) + CHOOSE(CONTROL!$C$25, 0, 0)</f>
        <v>71.683697125914904</v>
      </c>
    </row>
    <row r="78" spans="1:5" ht="15">
      <c r="A78" s="13">
        <v>44228</v>
      </c>
      <c r="B78" s="4">
        <f>12.9332 * CHOOSE(CONTROL!$C$6, $C$13, 100%, $E$13) + CHOOSE(CONTROL!$C$25, 0.0003, 0)</f>
        <v>12.933499999999999</v>
      </c>
      <c r="C78" s="4">
        <f>12.6207 * CHOOSE(CONTROL!$C$6, $C$13, 100%, $E$13) + CHOOSE(CONTROL!$C$25, 0.0003, 0)</f>
        <v>12.620999999999999</v>
      </c>
      <c r="D78" s="4">
        <f>18.0131 * CHOOSE(CONTROL!$C$6, $C$13, 100%, $E$13) + CHOOSE(CONTROL!$C$25, 0, 0)</f>
        <v>18.013100000000001</v>
      </c>
      <c r="E78" s="4">
        <f>73.3857505946429 * CHOOSE(CONTROL!$C$6, $C$13, 100%, $E$13) + CHOOSE(CONTROL!$C$25, 0, 0)</f>
        <v>73.3857505946429</v>
      </c>
    </row>
    <row r="79" spans="1:5" ht="15">
      <c r="A79" s="13">
        <v>44256</v>
      </c>
      <c r="B79" s="4">
        <f>13.6067 * CHOOSE(CONTROL!$C$6, $C$13, 100%, $E$13) + CHOOSE(CONTROL!$C$25, 0.0003, 0)</f>
        <v>13.606999999999999</v>
      </c>
      <c r="C79" s="4">
        <f>13.2942 * CHOOSE(CONTROL!$C$6, $C$13, 100%, $E$13) + CHOOSE(CONTROL!$C$25, 0.0003, 0)</f>
        <v>13.294499999999999</v>
      </c>
      <c r="D79" s="4">
        <f>18.8888 * CHOOSE(CONTROL!$C$6, $C$13, 100%, $E$13) + CHOOSE(CONTROL!$C$25, 0, 0)</f>
        <v>18.8888</v>
      </c>
      <c r="E79" s="4">
        <f>77.8554334561371 * CHOOSE(CONTROL!$C$6, $C$13, 100%, $E$13) + CHOOSE(CONTROL!$C$25, 0, 0)</f>
        <v>77.855433456137106</v>
      </c>
    </row>
    <row r="80" spans="1:5" ht="15">
      <c r="A80" s="13">
        <v>44287</v>
      </c>
      <c r="B80" s="4">
        <f>14.0852 * CHOOSE(CONTROL!$C$6, $C$13, 100%, $E$13) + CHOOSE(CONTROL!$C$25, 0.0003, 0)</f>
        <v>14.0855</v>
      </c>
      <c r="C80" s="4">
        <f>13.7727 * CHOOSE(CONTROL!$C$6, $C$13, 100%, $E$13) + CHOOSE(CONTROL!$C$25, 0.0003, 0)</f>
        <v>13.773</v>
      </c>
      <c r="D80" s="4">
        <f>19.3933 * CHOOSE(CONTROL!$C$6, $C$13, 100%, $E$13) + CHOOSE(CONTROL!$C$25, 0, 0)</f>
        <v>19.3933</v>
      </c>
      <c r="E80" s="4">
        <f>81.0312026955849 * CHOOSE(CONTROL!$C$6, $C$13, 100%, $E$13) + CHOOSE(CONTROL!$C$25, 0, 0)</f>
        <v>81.031202695584895</v>
      </c>
    </row>
    <row r="81" spans="1:5" ht="15">
      <c r="A81" s="13">
        <v>44317</v>
      </c>
      <c r="B81" s="4">
        <f>14.3776 * CHOOSE(CONTROL!$C$6, $C$13, 100%, $E$13) + CHOOSE(CONTROL!$C$25, 0.0238, 0)</f>
        <v>14.401399999999999</v>
      </c>
      <c r="C81" s="4">
        <f>14.0651 * CHOOSE(CONTROL!$C$6, $C$13, 100%, $E$13) + CHOOSE(CONTROL!$C$25, 0.0238, 0)</f>
        <v>14.088899999999999</v>
      </c>
      <c r="D81" s="4">
        <f>19.1939 * CHOOSE(CONTROL!$C$6, $C$13, 100%, $E$13) + CHOOSE(CONTROL!$C$25, 0, 0)</f>
        <v>19.193899999999999</v>
      </c>
      <c r="E81" s="4">
        <f>82.9715215883214 * CHOOSE(CONTROL!$C$6, $C$13, 100%, $E$13) + CHOOSE(CONTROL!$C$25, 0, 0)</f>
        <v>82.971521588321394</v>
      </c>
    </row>
    <row r="82" spans="1:5" ht="15">
      <c r="A82" s="13">
        <v>44348</v>
      </c>
      <c r="B82" s="4">
        <f>14.4172 * CHOOSE(CONTROL!$C$6, $C$13, 100%, $E$13) + CHOOSE(CONTROL!$C$25, 0.0238, 0)</f>
        <v>14.440999999999999</v>
      </c>
      <c r="C82" s="4">
        <f>14.1047 * CHOOSE(CONTROL!$C$6, $C$13, 100%, $E$13) + CHOOSE(CONTROL!$C$25, 0.0238, 0)</f>
        <v>14.128499999999999</v>
      </c>
      <c r="D82" s="4">
        <f>19.3563 * CHOOSE(CONTROL!$C$6, $C$13, 100%, $E$13) + CHOOSE(CONTROL!$C$25, 0, 0)</f>
        <v>19.356300000000001</v>
      </c>
      <c r="E82" s="4">
        <f>83.2340547869975 * CHOOSE(CONTROL!$C$6, $C$13, 100%, $E$13) + CHOOSE(CONTROL!$C$25, 0, 0)</f>
        <v>83.234054786997504</v>
      </c>
    </row>
    <row r="83" spans="1:5" ht="15">
      <c r="A83" s="13">
        <v>44378</v>
      </c>
      <c r="B83" s="4">
        <f>14.4132 * CHOOSE(CONTROL!$C$6, $C$13, 100%, $E$13) + CHOOSE(CONTROL!$C$25, 0.0238, 0)</f>
        <v>14.436999999999999</v>
      </c>
      <c r="C83" s="4">
        <f>14.1007 * CHOOSE(CONTROL!$C$6, $C$13, 100%, $E$13) + CHOOSE(CONTROL!$C$25, 0.0238, 0)</f>
        <v>14.124499999999999</v>
      </c>
      <c r="D83" s="4">
        <f>19.6492 * CHOOSE(CONTROL!$C$6, $C$13, 100%, $E$13) + CHOOSE(CONTROL!$C$25, 0, 0)</f>
        <v>19.6492</v>
      </c>
      <c r="E83" s="4">
        <f>83.2075808509966 * CHOOSE(CONTROL!$C$6, $C$13, 100%, $E$13) + CHOOSE(CONTROL!$C$25, 0, 0)</f>
        <v>83.207580850996607</v>
      </c>
    </row>
    <row r="84" spans="1:5" ht="15">
      <c r="A84" s="13">
        <v>44409</v>
      </c>
      <c r="B84" s="4">
        <f>14.7134 * CHOOSE(CONTROL!$C$6, $C$13, 100%, $E$13) + CHOOSE(CONTROL!$C$25, 0.0238, 0)</f>
        <v>14.7372</v>
      </c>
      <c r="C84" s="4">
        <f>14.4009 * CHOOSE(CONTROL!$C$6, $C$13, 100%, $E$13) + CHOOSE(CONTROL!$C$25, 0.0238, 0)</f>
        <v>14.4247</v>
      </c>
      <c r="D84" s="4">
        <f>19.4558 * CHOOSE(CONTROL!$C$6, $C$13, 100%, $E$13) + CHOOSE(CONTROL!$C$25, 0, 0)</f>
        <v>19.4558</v>
      </c>
      <c r="E84" s="4">
        <f>85.1997445350683 * CHOOSE(CONTROL!$C$6, $C$13, 100%, $E$13) + CHOOSE(CONTROL!$C$25, 0, 0)</f>
        <v>85.199744535068305</v>
      </c>
    </row>
    <row r="85" spans="1:5" ht="15">
      <c r="A85" s="13">
        <v>44440</v>
      </c>
      <c r="B85" s="4">
        <f>14.2018 * CHOOSE(CONTROL!$C$6, $C$13, 100%, $E$13) + CHOOSE(CONTROL!$C$25, 0.0238, 0)</f>
        <v>14.2256</v>
      </c>
      <c r="C85" s="4">
        <f>13.8893 * CHOOSE(CONTROL!$C$6, $C$13, 100%, $E$13) + CHOOSE(CONTROL!$C$25, 0.0238, 0)</f>
        <v>13.9131</v>
      </c>
      <c r="D85" s="4">
        <f>19.3644 * CHOOSE(CONTROL!$C$6, $C$13, 100%, $E$13) + CHOOSE(CONTROL!$C$25, 0, 0)</f>
        <v>19.3644</v>
      </c>
      <c r="E85" s="4">
        <f>81.8044622429461 * CHOOSE(CONTROL!$C$6, $C$13, 100%, $E$13) + CHOOSE(CONTROL!$C$25, 0, 0)</f>
        <v>81.804462242946101</v>
      </c>
    </row>
    <row r="86" spans="1:5" ht="15">
      <c r="A86" s="13">
        <v>44470</v>
      </c>
      <c r="B86" s="4">
        <f>13.7922 * CHOOSE(CONTROL!$C$6, $C$13, 100%, $E$13) + CHOOSE(CONTROL!$C$25, 0.0003, 0)</f>
        <v>13.792499999999999</v>
      </c>
      <c r="C86" s="4">
        <f>13.4797 * CHOOSE(CONTROL!$C$6, $C$13, 100%, $E$13) + CHOOSE(CONTROL!$C$25, 0.0003, 0)</f>
        <v>13.479999999999999</v>
      </c>
      <c r="D86" s="4">
        <f>19.1196 * CHOOSE(CONTROL!$C$6, $C$13, 100%, $E$13) + CHOOSE(CONTROL!$C$25, 0, 0)</f>
        <v>19.119599999999998</v>
      </c>
      <c r="E86" s="4">
        <f>79.0864714801815 * CHOOSE(CONTROL!$C$6, $C$13, 100%, $E$13) + CHOOSE(CONTROL!$C$25, 0, 0)</f>
        <v>79.086471480181501</v>
      </c>
    </row>
    <row r="87" spans="1:5" ht="15">
      <c r="A87" s="13">
        <v>44501</v>
      </c>
      <c r="B87" s="4">
        <f>13.5284 * CHOOSE(CONTROL!$C$6, $C$13, 100%, $E$13) + CHOOSE(CONTROL!$C$25, 0.0003, 0)</f>
        <v>13.528699999999999</v>
      </c>
      <c r="C87" s="4">
        <f>13.2159 * CHOOSE(CONTROL!$C$6, $C$13, 100%, $E$13) + CHOOSE(CONTROL!$C$25, 0.0003, 0)</f>
        <v>13.216199999999999</v>
      </c>
      <c r="D87" s="4">
        <f>19.0355 * CHOOSE(CONTROL!$C$6, $C$13, 100%, $E$13) + CHOOSE(CONTROL!$C$25, 0, 0)</f>
        <v>19.035499999999999</v>
      </c>
      <c r="E87" s="4">
        <f>77.3358824621184 * CHOOSE(CONTROL!$C$6, $C$13, 100%, $E$13) + CHOOSE(CONTROL!$C$25, 0, 0)</f>
        <v>77.335882462118406</v>
      </c>
    </row>
    <row r="88" spans="1:5" ht="15">
      <c r="A88" s="13">
        <v>44531</v>
      </c>
      <c r="B88" s="4">
        <f>13.3459 * CHOOSE(CONTROL!$C$6, $C$13, 100%, $E$13) + CHOOSE(CONTROL!$C$25, 0.0003, 0)</f>
        <v>13.3462</v>
      </c>
      <c r="C88" s="4">
        <f>13.0334 * CHOOSE(CONTROL!$C$6, $C$13, 100%, $E$13) + CHOOSE(CONTROL!$C$25, 0.0003, 0)</f>
        <v>13.0337</v>
      </c>
      <c r="D88" s="4">
        <f>18.4161 * CHOOSE(CONTROL!$C$6, $C$13, 100%, $E$13) + CHOOSE(CONTROL!$C$25, 0, 0)</f>
        <v>18.4161</v>
      </c>
      <c r="E88" s="4">
        <f>76.1246998900748 * CHOOSE(CONTROL!$C$6, $C$13, 100%, $E$13) + CHOOSE(CONTROL!$C$25, 0, 0)</f>
        <v>76.124699890074794</v>
      </c>
    </row>
    <row r="89" spans="1:5" ht="15">
      <c r="A89" s="13">
        <v>44562</v>
      </c>
      <c r="B89" s="4">
        <f>13.2277 * CHOOSE(CONTROL!$C$6, $C$13, 100%, $E$13) + CHOOSE(CONTROL!$C$25, 0.0003, 0)</f>
        <v>13.228</v>
      </c>
      <c r="C89" s="4">
        <f>12.9152 * CHOOSE(CONTROL!$C$6, $C$13, 100%, $E$13) + CHOOSE(CONTROL!$C$25, 0.0003, 0)</f>
        <v>12.9155</v>
      </c>
      <c r="D89" s="4">
        <f>18.2059 * CHOOSE(CONTROL!$C$6, $C$13, 100%, $E$13) + CHOOSE(CONTROL!$C$25, 0, 0)</f>
        <v>18.2059</v>
      </c>
      <c r="E89" s="4">
        <f>75.1373949127209 * CHOOSE(CONTROL!$C$6, $C$13, 100%, $E$13) + CHOOSE(CONTROL!$C$25, 0, 0)</f>
        <v>75.137394912720893</v>
      </c>
    </row>
    <row r="90" spans="1:5" ht="15">
      <c r="A90" s="13">
        <v>44593</v>
      </c>
      <c r="B90" s="4">
        <f>13.4973 * CHOOSE(CONTROL!$C$6, $C$13, 100%, $E$13) + CHOOSE(CONTROL!$C$25, 0.0003, 0)</f>
        <v>13.497599999999998</v>
      </c>
      <c r="C90" s="4">
        <f>13.1848 * CHOOSE(CONTROL!$C$6, $C$13, 100%, $E$13) + CHOOSE(CONTROL!$C$25, 0.0003, 0)</f>
        <v>13.185099999999998</v>
      </c>
      <c r="D90" s="4">
        <f>18.7918 * CHOOSE(CONTROL!$C$6, $C$13, 100%, $E$13) + CHOOSE(CONTROL!$C$25, 0, 0)</f>
        <v>18.791799999999999</v>
      </c>
      <c r="E90" s="4">
        <f>76.9214527776178 * CHOOSE(CONTROL!$C$6, $C$13, 100%, $E$13) + CHOOSE(CONTROL!$C$25, 0, 0)</f>
        <v>76.921452777617802</v>
      </c>
    </row>
    <row r="91" spans="1:5" ht="15">
      <c r="A91" s="13">
        <v>44621</v>
      </c>
      <c r="B91" s="4">
        <f>14.2052 * CHOOSE(CONTROL!$C$6, $C$13, 100%, $E$13) + CHOOSE(CONTROL!$C$25, 0.0003, 0)</f>
        <v>14.205499999999999</v>
      </c>
      <c r="C91" s="4">
        <f>13.8927 * CHOOSE(CONTROL!$C$6, $C$13, 100%, $E$13) + CHOOSE(CONTROL!$C$25, 0.0003, 0)</f>
        <v>13.892999999999999</v>
      </c>
      <c r="D91" s="4">
        <f>19.7091 * CHOOSE(CONTROL!$C$6, $C$13, 100%, $E$13) + CHOOSE(CONTROL!$C$25, 0, 0)</f>
        <v>19.709099999999999</v>
      </c>
      <c r="E91" s="4">
        <f>81.6064835414301 * CHOOSE(CONTROL!$C$6, $C$13, 100%, $E$13) + CHOOSE(CONTROL!$C$25, 0, 0)</f>
        <v>81.606483541430094</v>
      </c>
    </row>
    <row r="92" spans="1:5" ht="15">
      <c r="A92" s="13">
        <v>44652</v>
      </c>
      <c r="B92" s="4">
        <f>14.7081 * CHOOSE(CONTROL!$C$6, $C$13, 100%, $E$13) + CHOOSE(CONTROL!$C$25, 0.0003, 0)</f>
        <v>14.708399999999999</v>
      </c>
      <c r="C92" s="4">
        <f>14.3956 * CHOOSE(CONTROL!$C$6, $C$13, 100%, $E$13) + CHOOSE(CONTROL!$C$25, 0.0003, 0)</f>
        <v>14.395899999999999</v>
      </c>
      <c r="D92" s="4">
        <f>20.2375 * CHOOSE(CONTROL!$C$6, $C$13, 100%, $E$13) + CHOOSE(CONTROL!$C$25, 0, 0)</f>
        <v>20.237500000000001</v>
      </c>
      <c r="E92" s="4">
        <f>84.935260335363 * CHOOSE(CONTROL!$C$6, $C$13, 100%, $E$13) + CHOOSE(CONTROL!$C$25, 0, 0)</f>
        <v>84.935260335362997</v>
      </c>
    </row>
    <row r="93" spans="1:5" ht="15">
      <c r="A93" s="13">
        <v>44682</v>
      </c>
      <c r="B93" s="4">
        <f>15.0154 * CHOOSE(CONTROL!$C$6, $C$13, 100%, $E$13) + CHOOSE(CONTROL!$C$25, 0.0238, 0)</f>
        <v>15.039199999999999</v>
      </c>
      <c r="C93" s="4">
        <f>14.7029 * CHOOSE(CONTROL!$C$6, $C$13, 100%, $E$13) + CHOOSE(CONTROL!$C$25, 0.0238, 0)</f>
        <v>14.726699999999999</v>
      </c>
      <c r="D93" s="4">
        <f>20.0287 * CHOOSE(CONTROL!$C$6, $C$13, 100%, $E$13) + CHOOSE(CONTROL!$C$25, 0, 0)</f>
        <v>20.028700000000001</v>
      </c>
      <c r="E93" s="4">
        <f>86.9690631768106 * CHOOSE(CONTROL!$C$6, $C$13, 100%, $E$13) + CHOOSE(CONTROL!$C$25, 0, 0)</f>
        <v>86.969063176810593</v>
      </c>
    </row>
    <row r="94" spans="1:5" ht="15">
      <c r="A94" s="13">
        <v>44713</v>
      </c>
      <c r="B94" s="4">
        <f>15.057 * CHOOSE(CONTROL!$C$6, $C$13, 100%, $E$13) + CHOOSE(CONTROL!$C$25, 0.0238, 0)</f>
        <v>15.0808</v>
      </c>
      <c r="C94" s="4">
        <f>14.7445 * CHOOSE(CONTROL!$C$6, $C$13, 100%, $E$13) + CHOOSE(CONTROL!$C$25, 0.0238, 0)</f>
        <v>14.7683</v>
      </c>
      <c r="D94" s="4">
        <f>20.1988 * CHOOSE(CONTROL!$C$6, $C$13, 100%, $E$13) + CHOOSE(CONTROL!$C$25, 0, 0)</f>
        <v>20.198799999999999</v>
      </c>
      <c r="E94" s="4">
        <f>87.2442451417137 * CHOOSE(CONTROL!$C$6, $C$13, 100%, $E$13) + CHOOSE(CONTROL!$C$25, 0, 0)</f>
        <v>87.244245141713705</v>
      </c>
    </row>
    <row r="95" spans="1:5" ht="15">
      <c r="A95" s="13">
        <v>44743</v>
      </c>
      <c r="B95" s="4">
        <f>15.0528 * CHOOSE(CONTROL!$C$6, $C$13, 100%, $E$13) + CHOOSE(CONTROL!$C$25, 0.0238, 0)</f>
        <v>15.076599999999999</v>
      </c>
      <c r="C95" s="4">
        <f>14.7403 * CHOOSE(CONTROL!$C$6, $C$13, 100%, $E$13) + CHOOSE(CONTROL!$C$25, 0.0238, 0)</f>
        <v>14.764099999999999</v>
      </c>
      <c r="D95" s="4">
        <f>20.5056 * CHOOSE(CONTROL!$C$6, $C$13, 100%, $E$13) + CHOOSE(CONTROL!$C$25, 0, 0)</f>
        <v>20.505600000000001</v>
      </c>
      <c r="E95" s="4">
        <f>87.2164956998747 * CHOOSE(CONTROL!$C$6, $C$13, 100%, $E$13) + CHOOSE(CONTROL!$C$25, 0, 0)</f>
        <v>87.216495699874699</v>
      </c>
    </row>
    <row r="96" spans="1:5" ht="15">
      <c r="A96" s="13">
        <v>44774</v>
      </c>
      <c r="B96" s="4">
        <f>15.3683 * CHOOSE(CONTROL!$C$6, $C$13, 100%, $E$13) + CHOOSE(CONTROL!$C$25, 0.0238, 0)</f>
        <v>15.392099999999999</v>
      </c>
      <c r="C96" s="4">
        <f>15.0558 * CHOOSE(CONTROL!$C$6, $C$13, 100%, $E$13) + CHOOSE(CONTROL!$C$25, 0.0238, 0)</f>
        <v>15.079599999999999</v>
      </c>
      <c r="D96" s="4">
        <f>20.303 * CHOOSE(CONTROL!$C$6, $C$13, 100%, $E$13) + CHOOSE(CONTROL!$C$25, 0, 0)</f>
        <v>20.303000000000001</v>
      </c>
      <c r="E96" s="4">
        <f>89.304641198257 * CHOOSE(CONTROL!$C$6, $C$13, 100%, $E$13) + CHOOSE(CONTROL!$C$25, 0, 0)</f>
        <v>89.304641198257002</v>
      </c>
    </row>
    <row r="97" spans="1:5" ht="15">
      <c r="A97" s="13">
        <v>44805</v>
      </c>
      <c r="B97" s="4">
        <f>14.8306 * CHOOSE(CONTROL!$C$6, $C$13, 100%, $E$13) + CHOOSE(CONTROL!$C$25, 0.0238, 0)</f>
        <v>14.8544</v>
      </c>
      <c r="C97" s="4">
        <f>14.5181 * CHOOSE(CONTROL!$C$6, $C$13, 100%, $E$13) + CHOOSE(CONTROL!$C$25, 0.0238, 0)</f>
        <v>14.5419</v>
      </c>
      <c r="D97" s="4">
        <f>20.2072 * CHOOSE(CONTROL!$C$6, $C$13, 100%, $E$13) + CHOOSE(CONTROL!$C$25, 0, 0)</f>
        <v>20.2072</v>
      </c>
      <c r="E97" s="4">
        <f>85.7457752824095 * CHOOSE(CONTROL!$C$6, $C$13, 100%, $E$13) + CHOOSE(CONTROL!$C$25, 0, 0)</f>
        <v>85.745775282409497</v>
      </c>
    </row>
    <row r="98" spans="1:5" ht="15">
      <c r="A98" s="13">
        <v>44835</v>
      </c>
      <c r="B98" s="4">
        <f>14.4001 * CHOOSE(CONTROL!$C$6, $C$13, 100%, $E$13) + CHOOSE(CONTROL!$C$25, 0.0003, 0)</f>
        <v>14.400399999999999</v>
      </c>
      <c r="C98" s="4">
        <f>14.0876 * CHOOSE(CONTROL!$C$6, $C$13, 100%, $E$13) + CHOOSE(CONTROL!$C$25, 0.0003, 0)</f>
        <v>14.087899999999999</v>
      </c>
      <c r="D98" s="4">
        <f>19.9509 * CHOOSE(CONTROL!$C$6, $C$13, 100%, $E$13) + CHOOSE(CONTROL!$C$25, 0, 0)</f>
        <v>19.950900000000001</v>
      </c>
      <c r="E98" s="4">
        <f>82.8968325869421 * CHOOSE(CONTROL!$C$6, $C$13, 100%, $E$13) + CHOOSE(CONTROL!$C$25, 0, 0)</f>
        <v>82.896832586942097</v>
      </c>
    </row>
    <row r="99" spans="1:5" ht="15">
      <c r="A99" s="13">
        <v>44866</v>
      </c>
      <c r="B99" s="4">
        <f>14.1229 * CHOOSE(CONTROL!$C$6, $C$13, 100%, $E$13) + CHOOSE(CONTROL!$C$25, 0.0003, 0)</f>
        <v>14.123199999999999</v>
      </c>
      <c r="C99" s="4">
        <f>13.8104 * CHOOSE(CONTROL!$C$6, $C$13, 100%, $E$13) + CHOOSE(CONTROL!$C$25, 0.0003, 0)</f>
        <v>13.810699999999999</v>
      </c>
      <c r="D99" s="4">
        <f>19.8628 * CHOOSE(CONTROL!$C$6, $C$13, 100%, $E$13) + CHOOSE(CONTROL!$C$25, 0, 0)</f>
        <v>19.8628</v>
      </c>
      <c r="E99" s="4">
        <f>81.0619007453404 * CHOOSE(CONTROL!$C$6, $C$13, 100%, $E$13) + CHOOSE(CONTROL!$C$25, 0, 0)</f>
        <v>81.061900745340395</v>
      </c>
    </row>
    <row r="100" spans="1:5" ht="15">
      <c r="A100" s="13">
        <v>44896</v>
      </c>
      <c r="B100" s="4">
        <f>13.9311 * CHOOSE(CONTROL!$C$6, $C$13, 100%, $E$13) + CHOOSE(CONTROL!$C$25, 0.0003, 0)</f>
        <v>13.9314</v>
      </c>
      <c r="C100" s="4">
        <f>13.6186 * CHOOSE(CONTROL!$C$6, $C$13, 100%, $E$13) + CHOOSE(CONTROL!$C$25, 0.0003, 0)</f>
        <v>13.6189</v>
      </c>
      <c r="D100" s="4">
        <f>19.2139 * CHOOSE(CONTROL!$C$6, $C$13, 100%, $E$13) + CHOOSE(CONTROL!$C$25, 0, 0)</f>
        <v>19.213899999999999</v>
      </c>
      <c r="E100" s="4">
        <f>79.7923637812077 * CHOOSE(CONTROL!$C$6, $C$13, 100%, $E$13) + CHOOSE(CONTROL!$C$25, 0, 0)</f>
        <v>79.792363781207698</v>
      </c>
    </row>
    <row r="101" spans="1:5" ht="15">
      <c r="A101" s="13">
        <v>44927</v>
      </c>
      <c r="B101" s="4">
        <f>13.8613 * CHOOSE(CONTROL!$C$6, $C$13, 100%, $E$13) + CHOOSE(CONTROL!$C$25, 0.0003, 0)</f>
        <v>13.861599999999999</v>
      </c>
      <c r="C101" s="4">
        <f>13.5488 * CHOOSE(CONTROL!$C$6, $C$13, 100%, $E$13) + CHOOSE(CONTROL!$C$25, 0.0003, 0)</f>
        <v>13.549099999999999</v>
      </c>
      <c r="D101" s="4">
        <f>19.0473 * CHOOSE(CONTROL!$C$6, $C$13, 100%, $E$13) + CHOOSE(CONTROL!$C$25, 0, 0)</f>
        <v>19.0473</v>
      </c>
      <c r="E101" s="4">
        <f>78.7468370970558 * CHOOSE(CONTROL!$C$6, $C$13, 100%, $E$13) + CHOOSE(CONTROL!$C$25, 0, 0)</f>
        <v>78.746837097055803</v>
      </c>
    </row>
    <row r="102" spans="1:5" ht="15">
      <c r="A102" s="13">
        <v>44958</v>
      </c>
      <c r="B102" s="4">
        <f>14.1459 * CHOOSE(CONTROL!$C$6, $C$13, 100%, $E$13) + CHOOSE(CONTROL!$C$25, 0.0003, 0)</f>
        <v>14.146199999999999</v>
      </c>
      <c r="C102" s="4">
        <f>13.8334 * CHOOSE(CONTROL!$C$6, $C$13, 100%, $E$13) + CHOOSE(CONTROL!$C$25, 0.0003, 0)</f>
        <v>13.833699999999999</v>
      </c>
      <c r="D102" s="4">
        <f>19.663 * CHOOSE(CONTROL!$C$6, $C$13, 100%, $E$13) + CHOOSE(CONTROL!$C$25, 0, 0)</f>
        <v>19.663</v>
      </c>
      <c r="E102" s="4">
        <f>80.6165973438936 * CHOOSE(CONTROL!$C$6, $C$13, 100%, $E$13) + CHOOSE(CONTROL!$C$25, 0, 0)</f>
        <v>80.616597343893602</v>
      </c>
    </row>
    <row r="103" spans="1:5" ht="15">
      <c r="A103" s="13">
        <v>44986</v>
      </c>
      <c r="B103" s="4">
        <f>14.8933 * CHOOSE(CONTROL!$C$6, $C$13, 100%, $E$13) + CHOOSE(CONTROL!$C$25, 0.0003, 0)</f>
        <v>14.893599999999999</v>
      </c>
      <c r="C103" s="4">
        <f>14.5808 * CHOOSE(CONTROL!$C$6, $C$13, 100%, $E$13) + CHOOSE(CONTROL!$C$25, 0.0003, 0)</f>
        <v>14.581099999999999</v>
      </c>
      <c r="D103" s="4">
        <f>20.6268 * CHOOSE(CONTROL!$C$6, $C$13, 100%, $E$13) + CHOOSE(CONTROL!$C$25, 0, 0)</f>
        <v>20.626799999999999</v>
      </c>
      <c r="E103" s="4">
        <f>85.5266871171839 * CHOOSE(CONTROL!$C$6, $C$13, 100%, $E$13) + CHOOSE(CONTROL!$C$25, 0, 0)</f>
        <v>85.526687117183897</v>
      </c>
    </row>
    <row r="104" spans="1:5" ht="15">
      <c r="A104" s="13">
        <v>45017</v>
      </c>
      <c r="B104" s="4">
        <f>15.4243 * CHOOSE(CONTROL!$C$6, $C$13, 100%, $E$13) + CHOOSE(CONTROL!$C$25, 0.0003, 0)</f>
        <v>15.4246</v>
      </c>
      <c r="C104" s="4">
        <f>15.1118 * CHOOSE(CONTROL!$C$6, $C$13, 100%, $E$13) + CHOOSE(CONTROL!$C$25, 0.0003, 0)</f>
        <v>15.1121</v>
      </c>
      <c r="D104" s="4">
        <f>21.182 * CHOOSE(CONTROL!$C$6, $C$13, 100%, $E$13) + CHOOSE(CONTROL!$C$25, 0, 0)</f>
        <v>21.181999999999999</v>
      </c>
      <c r="E104" s="4">
        <f>89.0153713366565 * CHOOSE(CONTROL!$C$6, $C$13, 100%, $E$13) + CHOOSE(CONTROL!$C$25, 0, 0)</f>
        <v>89.0153713366565</v>
      </c>
    </row>
    <row r="105" spans="1:5" ht="15">
      <c r="A105" s="13">
        <v>45047</v>
      </c>
      <c r="B105" s="4">
        <f>15.7488 * CHOOSE(CONTROL!$C$6, $C$13, 100%, $E$13) + CHOOSE(CONTROL!$C$25, 0.0238, 0)</f>
        <v>15.772599999999999</v>
      </c>
      <c r="C105" s="4">
        <f>15.4363 * CHOOSE(CONTROL!$C$6, $C$13, 100%, $E$13) + CHOOSE(CONTROL!$C$25, 0.0238, 0)</f>
        <v>15.460099999999999</v>
      </c>
      <c r="D105" s="4">
        <f>20.9626 * CHOOSE(CONTROL!$C$6, $C$13, 100%, $E$13) + CHOOSE(CONTROL!$C$25, 0, 0)</f>
        <v>20.962599999999998</v>
      </c>
      <c r="E105" s="4">
        <f>91.1468737826628 * CHOOSE(CONTROL!$C$6, $C$13, 100%, $E$13) + CHOOSE(CONTROL!$C$25, 0, 0)</f>
        <v>91.146873782662794</v>
      </c>
    </row>
    <row r="106" spans="1:5" ht="15">
      <c r="A106" s="13">
        <v>45078</v>
      </c>
      <c r="B106" s="4">
        <f>15.7927 * CHOOSE(CONTROL!$C$6, $C$13, 100%, $E$13) + CHOOSE(CONTROL!$C$25, 0.0238, 0)</f>
        <v>15.8165</v>
      </c>
      <c r="C106" s="4">
        <f>15.4802 * CHOOSE(CONTROL!$C$6, $C$13, 100%, $E$13) + CHOOSE(CONTROL!$C$25, 0.0238, 0)</f>
        <v>15.504</v>
      </c>
      <c r="D106" s="4">
        <f>21.1412 * CHOOSE(CONTROL!$C$6, $C$13, 100%, $E$13) + CHOOSE(CONTROL!$C$25, 0, 0)</f>
        <v>21.141200000000001</v>
      </c>
      <c r="E106" s="4">
        <f>91.4352749095243 * CHOOSE(CONTROL!$C$6, $C$13, 100%, $E$13) + CHOOSE(CONTROL!$C$25, 0, 0)</f>
        <v>91.435274909524296</v>
      </c>
    </row>
    <row r="107" spans="1:5" ht="15">
      <c r="A107" s="13">
        <v>45108</v>
      </c>
      <c r="B107" s="4">
        <f>15.7882 * CHOOSE(CONTROL!$C$6, $C$13, 100%, $E$13) + CHOOSE(CONTROL!$C$25, 0.0238, 0)</f>
        <v>15.811999999999999</v>
      </c>
      <c r="C107" s="4">
        <f>15.4757 * CHOOSE(CONTROL!$C$6, $C$13, 100%, $E$13) + CHOOSE(CONTROL!$C$25, 0.0238, 0)</f>
        <v>15.499499999999999</v>
      </c>
      <c r="D107" s="4">
        <f>21.4636 * CHOOSE(CONTROL!$C$6, $C$13, 100%, $E$13) + CHOOSE(CONTROL!$C$25, 0, 0)</f>
        <v>21.4636</v>
      </c>
      <c r="E107" s="4">
        <f>91.4061924429501 * CHOOSE(CONTROL!$C$6, $C$13, 100%, $E$13) + CHOOSE(CONTROL!$C$25, 0, 0)</f>
        <v>91.4061924429501</v>
      </c>
    </row>
    <row r="108" spans="1:5" ht="15">
      <c r="A108" s="13">
        <v>45139</v>
      </c>
      <c r="B108" s="4">
        <f>16.1214 * CHOOSE(CONTROL!$C$6, $C$13, 100%, $E$13) + CHOOSE(CONTROL!$C$25, 0.0238, 0)</f>
        <v>16.145200000000003</v>
      </c>
      <c r="C108" s="4">
        <f>15.8089 * CHOOSE(CONTROL!$C$6, $C$13, 100%, $E$13) + CHOOSE(CONTROL!$C$25, 0.0238, 0)</f>
        <v>15.832699999999999</v>
      </c>
      <c r="D108" s="4">
        <f>21.2507 * CHOOSE(CONTROL!$C$6, $C$13, 100%, $E$13) + CHOOSE(CONTROL!$C$25, 0, 0)</f>
        <v>21.250699999999998</v>
      </c>
      <c r="E108" s="4">
        <f>93.5946480526644 * CHOOSE(CONTROL!$C$6, $C$13, 100%, $E$13) + CHOOSE(CONTROL!$C$25, 0, 0)</f>
        <v>93.594648052664397</v>
      </c>
    </row>
    <row r="109" spans="1:5" ht="15">
      <c r="A109" s="13">
        <v>45170</v>
      </c>
      <c r="B109" s="4">
        <f>15.5536 * CHOOSE(CONTROL!$C$6, $C$13, 100%, $E$13) + CHOOSE(CONTROL!$C$25, 0.0238, 0)</f>
        <v>15.577399999999999</v>
      </c>
      <c r="C109" s="4">
        <f>15.2411 * CHOOSE(CONTROL!$C$6, $C$13, 100%, $E$13) + CHOOSE(CONTROL!$C$25, 0.0238, 0)</f>
        <v>15.264899999999999</v>
      </c>
      <c r="D109" s="4">
        <f>21.1501 * CHOOSE(CONTROL!$C$6, $C$13, 100%, $E$13) + CHOOSE(CONTROL!$C$25, 0, 0)</f>
        <v>21.150099999999998</v>
      </c>
      <c r="E109" s="4">
        <f>89.8648217145135 * CHOOSE(CONTROL!$C$6, $C$13, 100%, $E$13) + CHOOSE(CONTROL!$C$25, 0, 0)</f>
        <v>89.864821714513496</v>
      </c>
    </row>
    <row r="110" spans="1:5" ht="15">
      <c r="A110" s="13">
        <v>45200</v>
      </c>
      <c r="B110" s="4">
        <f>15.0991 * CHOOSE(CONTROL!$C$6, $C$13, 100%, $E$13) + CHOOSE(CONTROL!$C$25, 0.0003, 0)</f>
        <v>15.099399999999999</v>
      </c>
      <c r="C110" s="4">
        <f>14.7866 * CHOOSE(CONTROL!$C$6, $C$13, 100%, $E$13) + CHOOSE(CONTROL!$C$25, 0.0003, 0)</f>
        <v>14.786899999999999</v>
      </c>
      <c r="D110" s="4">
        <f>20.8808 * CHOOSE(CONTROL!$C$6, $C$13, 100%, $E$13) + CHOOSE(CONTROL!$C$25, 0, 0)</f>
        <v>20.880800000000001</v>
      </c>
      <c r="E110" s="4">
        <f>86.8790218128877 * CHOOSE(CONTROL!$C$6, $C$13, 100%, $E$13) + CHOOSE(CONTROL!$C$25, 0, 0)</f>
        <v>86.8790218128877</v>
      </c>
    </row>
    <row r="111" spans="1:5" ht="15">
      <c r="A111" s="13">
        <v>45231</v>
      </c>
      <c r="B111" s="4">
        <f>14.8064 * CHOOSE(CONTROL!$C$6, $C$13, 100%, $E$13) + CHOOSE(CONTROL!$C$25, 0.0003, 0)</f>
        <v>14.806699999999999</v>
      </c>
      <c r="C111" s="4">
        <f>14.4939 * CHOOSE(CONTROL!$C$6, $C$13, 100%, $E$13) + CHOOSE(CONTROL!$C$25, 0.0003, 0)</f>
        <v>14.494199999999999</v>
      </c>
      <c r="D111" s="4">
        <f>20.7882 * CHOOSE(CONTROL!$C$6, $C$13, 100%, $E$13) + CHOOSE(CONTROL!$C$25, 0, 0)</f>
        <v>20.7882</v>
      </c>
      <c r="E111" s="4">
        <f>84.9559437106637 * CHOOSE(CONTROL!$C$6, $C$13, 100%, $E$13) + CHOOSE(CONTROL!$C$25, 0, 0)</f>
        <v>84.955943710663703</v>
      </c>
    </row>
    <row r="112" spans="1:5" ht="15">
      <c r="A112" s="13">
        <v>45261</v>
      </c>
      <c r="B112" s="4">
        <f>14.6039 * CHOOSE(CONTROL!$C$6, $C$13, 100%, $E$13) + CHOOSE(CONTROL!$C$25, 0.0003, 0)</f>
        <v>14.604199999999999</v>
      </c>
      <c r="C112" s="4">
        <f>14.2914 * CHOOSE(CONTROL!$C$6, $C$13, 100%, $E$13) + CHOOSE(CONTROL!$C$25, 0.0003, 0)</f>
        <v>14.291699999999999</v>
      </c>
      <c r="D112" s="4">
        <f>20.1065 * CHOOSE(CONTROL!$C$6, $C$13, 100%, $E$13) + CHOOSE(CONTROL!$C$25, 0, 0)</f>
        <v>20.1065</v>
      </c>
      <c r="E112" s="4">
        <f>83.6254208648906 * CHOOSE(CONTROL!$C$6, $C$13, 100%, $E$13) + CHOOSE(CONTROL!$C$25, 0, 0)</f>
        <v>83.6254208648906</v>
      </c>
    </row>
    <row r="113" spans="1:5" ht="15">
      <c r="A113" s="13">
        <v>45292</v>
      </c>
      <c r="B113" s="4">
        <f>14.4748 * CHOOSE(CONTROL!$C$6, $C$13, 100%, $E$13) + CHOOSE(CONTROL!$C$25, 0.0003, 0)</f>
        <v>14.475099999999999</v>
      </c>
      <c r="C113" s="4">
        <f>14.1623 * CHOOSE(CONTROL!$C$6, $C$13, 100%, $E$13) + CHOOSE(CONTROL!$C$25, 0.0003, 0)</f>
        <v>14.162599999999999</v>
      </c>
      <c r="D113" s="4">
        <f>20.222 * CHOOSE(CONTROL!$C$6, $C$13, 100%, $E$13) + CHOOSE(CONTROL!$C$25, 0, 0)</f>
        <v>20.222000000000001</v>
      </c>
      <c r="E113" s="4">
        <f>82.4647232224666 * CHOOSE(CONTROL!$C$6, $C$13, 100%, $E$13) + CHOOSE(CONTROL!$C$25, 0, 0)</f>
        <v>82.464723222466603</v>
      </c>
    </row>
    <row r="114" spans="1:5" ht="15">
      <c r="A114" s="13">
        <v>45323</v>
      </c>
      <c r="B114" s="4">
        <f>14.774 * CHOOSE(CONTROL!$C$6, $C$13, 100%, $E$13) + CHOOSE(CONTROL!$C$25, 0.0003, 0)</f>
        <v>14.774299999999998</v>
      </c>
      <c r="C114" s="4">
        <f>14.4615 * CHOOSE(CONTROL!$C$6, $C$13, 100%, $E$13) + CHOOSE(CONTROL!$C$25, 0.0003, 0)</f>
        <v>14.461799999999998</v>
      </c>
      <c r="D114" s="4">
        <f>20.8791 * CHOOSE(CONTROL!$C$6, $C$13, 100%, $E$13) + CHOOSE(CONTROL!$C$25, 0, 0)</f>
        <v>20.879100000000001</v>
      </c>
      <c r="E114" s="4">
        <f>84.4227607377742 * CHOOSE(CONTROL!$C$6, $C$13, 100%, $E$13) + CHOOSE(CONTROL!$C$25, 0, 0)</f>
        <v>84.422760737774198</v>
      </c>
    </row>
    <row r="115" spans="1:5" ht="15">
      <c r="A115" s="13">
        <v>45352</v>
      </c>
      <c r="B115" s="4">
        <f>15.5596 * CHOOSE(CONTROL!$C$6, $C$13, 100%, $E$13) + CHOOSE(CONTROL!$C$25, 0.0003, 0)</f>
        <v>15.559899999999999</v>
      </c>
      <c r="C115" s="4">
        <f>15.2471 * CHOOSE(CONTROL!$C$6, $C$13, 100%, $E$13) + CHOOSE(CONTROL!$C$25, 0.0003, 0)</f>
        <v>15.247399999999999</v>
      </c>
      <c r="D115" s="4">
        <f>21.9078 * CHOOSE(CONTROL!$C$6, $C$13, 100%, $E$13) + CHOOSE(CONTROL!$C$25, 0, 0)</f>
        <v>21.907800000000002</v>
      </c>
      <c r="E115" s="4">
        <f>89.5646713094051 * CHOOSE(CONTROL!$C$6, $C$13, 100%, $E$13) + CHOOSE(CONTROL!$C$25, 0, 0)</f>
        <v>89.564671309405099</v>
      </c>
    </row>
    <row r="116" spans="1:5" ht="15">
      <c r="A116" s="13">
        <v>45383</v>
      </c>
      <c r="B116" s="4">
        <f>16.1178 * CHOOSE(CONTROL!$C$6, $C$13, 100%, $E$13) + CHOOSE(CONTROL!$C$25, 0.0003, 0)</f>
        <v>16.118099999999998</v>
      </c>
      <c r="C116" s="4">
        <f>15.8053 * CHOOSE(CONTROL!$C$6, $C$13, 100%, $E$13) + CHOOSE(CONTROL!$C$25, 0.0003, 0)</f>
        <v>15.8056</v>
      </c>
      <c r="D116" s="4">
        <f>22.5004 * CHOOSE(CONTROL!$C$6, $C$13, 100%, $E$13) + CHOOSE(CONTROL!$C$25, 0, 0)</f>
        <v>22.500399999999999</v>
      </c>
      <c r="E116" s="4">
        <f>93.218067295517 * CHOOSE(CONTROL!$C$6, $C$13, 100%, $E$13) + CHOOSE(CONTROL!$C$25, 0, 0)</f>
        <v>93.218067295517002</v>
      </c>
    </row>
    <row r="117" spans="1:5" ht="15">
      <c r="A117" s="13">
        <v>45413</v>
      </c>
      <c r="B117" s="4">
        <f>16.4589 * CHOOSE(CONTROL!$C$6, $C$13, 100%, $E$13) + CHOOSE(CONTROL!$C$25, 0.0238, 0)</f>
        <v>16.482700000000001</v>
      </c>
      <c r="C117" s="4">
        <f>16.1464 * CHOOSE(CONTROL!$C$6, $C$13, 100%, $E$13) + CHOOSE(CONTROL!$C$25, 0.0238, 0)</f>
        <v>16.170200000000001</v>
      </c>
      <c r="D117" s="4">
        <f>22.2662 * CHOOSE(CONTROL!$C$6, $C$13, 100%, $E$13) + CHOOSE(CONTROL!$C$25, 0, 0)</f>
        <v>22.266200000000001</v>
      </c>
      <c r="E117" s="4">
        <f>95.4502046833499 * CHOOSE(CONTROL!$C$6, $C$13, 100%, $E$13) + CHOOSE(CONTROL!$C$25, 0, 0)</f>
        <v>95.450204683349895</v>
      </c>
    </row>
    <row r="118" spans="1:5" ht="15">
      <c r="A118" s="13">
        <v>45444</v>
      </c>
      <c r="B118" s="4">
        <f>16.505 * CHOOSE(CONTROL!$C$6, $C$13, 100%, $E$13) + CHOOSE(CONTROL!$C$25, 0.0238, 0)</f>
        <v>16.5288</v>
      </c>
      <c r="C118" s="4">
        <f>16.1925 * CHOOSE(CONTROL!$C$6, $C$13, 100%, $E$13) + CHOOSE(CONTROL!$C$25, 0.0238, 0)</f>
        <v>16.2163</v>
      </c>
      <c r="D118" s="4">
        <f>22.4569 * CHOOSE(CONTROL!$C$6, $C$13, 100%, $E$13) + CHOOSE(CONTROL!$C$25, 0, 0)</f>
        <v>22.456900000000001</v>
      </c>
      <c r="E118" s="4">
        <f>95.7522221354842 * CHOOSE(CONTROL!$C$6, $C$13, 100%, $E$13) + CHOOSE(CONTROL!$C$25, 0, 0)</f>
        <v>95.752222135484203</v>
      </c>
    </row>
    <row r="119" spans="1:5" ht="15">
      <c r="A119" s="13">
        <v>45474</v>
      </c>
      <c r="B119" s="4">
        <f>16.5004 * CHOOSE(CONTROL!$C$6, $C$13, 100%, $E$13) + CHOOSE(CONTROL!$C$25, 0.0238, 0)</f>
        <v>16.5242</v>
      </c>
      <c r="C119" s="4">
        <f>16.1879 * CHOOSE(CONTROL!$C$6, $C$13, 100%, $E$13) + CHOOSE(CONTROL!$C$25, 0.0238, 0)</f>
        <v>16.2117</v>
      </c>
      <c r="D119" s="4">
        <f>22.801 * CHOOSE(CONTROL!$C$6, $C$13, 100%, $E$13) + CHOOSE(CONTROL!$C$25, 0, 0)</f>
        <v>22.800999999999998</v>
      </c>
      <c r="E119" s="4">
        <f>95.7217665940925 * CHOOSE(CONTROL!$C$6, $C$13, 100%, $E$13) + CHOOSE(CONTROL!$C$25, 0, 0)</f>
        <v>95.7217665940925</v>
      </c>
    </row>
    <row r="120" spans="1:5" ht="15">
      <c r="A120" s="13">
        <v>45505</v>
      </c>
      <c r="B120" s="4">
        <f>16.8505 * CHOOSE(CONTROL!$C$6, $C$13, 100%, $E$13) + CHOOSE(CONTROL!$C$25, 0.0238, 0)</f>
        <v>16.874300000000002</v>
      </c>
      <c r="C120" s="4">
        <f>16.538 * CHOOSE(CONTROL!$C$6, $C$13, 100%, $E$13) + CHOOSE(CONTROL!$C$25, 0.0238, 0)</f>
        <v>16.561800000000002</v>
      </c>
      <c r="D120" s="4">
        <f>22.5738 * CHOOSE(CONTROL!$C$6, $C$13, 100%, $E$13) + CHOOSE(CONTROL!$C$25, 0, 0)</f>
        <v>22.573799999999999</v>
      </c>
      <c r="E120" s="4">
        <f>98.0135460838174 * CHOOSE(CONTROL!$C$6, $C$13, 100%, $E$13) + CHOOSE(CONTROL!$C$25, 0, 0)</f>
        <v>98.013546083817403</v>
      </c>
    </row>
    <row r="121" spans="1:5" ht="15">
      <c r="A121" s="13">
        <v>45536</v>
      </c>
      <c r="B121" s="4">
        <f>16.2537 * CHOOSE(CONTROL!$C$6, $C$13, 100%, $E$13) + CHOOSE(CONTROL!$C$25, 0.0238, 0)</f>
        <v>16.2775</v>
      </c>
      <c r="C121" s="4">
        <f>15.9412 * CHOOSE(CONTROL!$C$6, $C$13, 100%, $E$13) + CHOOSE(CONTROL!$C$25, 0.0238, 0)</f>
        <v>15.965</v>
      </c>
      <c r="D121" s="4">
        <f>22.4664 * CHOOSE(CONTROL!$C$6, $C$13, 100%, $E$13) + CHOOSE(CONTROL!$C$25, 0, 0)</f>
        <v>22.4664</v>
      </c>
      <c r="E121" s="4">
        <f>94.1076229003328 * CHOOSE(CONTROL!$C$6, $C$13, 100%, $E$13) + CHOOSE(CONTROL!$C$25, 0, 0)</f>
        <v>94.1076229003328</v>
      </c>
    </row>
    <row r="122" spans="1:5" ht="15">
      <c r="A122" s="13">
        <v>45566</v>
      </c>
      <c r="B122" s="4">
        <f>15.776 * CHOOSE(CONTROL!$C$6, $C$13, 100%, $E$13) + CHOOSE(CONTROL!$C$25, 0.0003, 0)</f>
        <v>15.776299999999999</v>
      </c>
      <c r="C122" s="4">
        <f>15.4635 * CHOOSE(CONTROL!$C$6, $C$13, 100%, $E$13) + CHOOSE(CONTROL!$C$25, 0.0003, 0)</f>
        <v>15.463799999999999</v>
      </c>
      <c r="D122" s="4">
        <f>22.1789 * CHOOSE(CONTROL!$C$6, $C$13, 100%, $E$13) + CHOOSE(CONTROL!$C$25, 0, 0)</f>
        <v>22.178899999999999</v>
      </c>
      <c r="E122" s="4">
        <f>90.9808539841189 * CHOOSE(CONTROL!$C$6, $C$13, 100%, $E$13) + CHOOSE(CONTROL!$C$25, 0, 0)</f>
        <v>90.980853984118895</v>
      </c>
    </row>
    <row r="123" spans="1:5" ht="15">
      <c r="A123" s="13">
        <v>45597</v>
      </c>
      <c r="B123" s="4">
        <f>15.4683 * CHOOSE(CONTROL!$C$6, $C$13, 100%, $E$13) + CHOOSE(CONTROL!$C$25, 0.0003, 0)</f>
        <v>15.468599999999999</v>
      </c>
      <c r="C123" s="4">
        <f>15.1558 * CHOOSE(CONTROL!$C$6, $C$13, 100%, $E$13) + CHOOSE(CONTROL!$C$25, 0.0003, 0)</f>
        <v>15.156099999999999</v>
      </c>
      <c r="D123" s="4">
        <f>22.0801 * CHOOSE(CONTROL!$C$6, $C$13, 100%, $E$13) + CHOOSE(CONTROL!$C$25, 0, 0)</f>
        <v>22.080100000000002</v>
      </c>
      <c r="E123" s="4">
        <f>88.9669813095932 * CHOOSE(CONTROL!$C$6, $C$13, 100%, $E$13) + CHOOSE(CONTROL!$C$25, 0, 0)</f>
        <v>88.966981309593194</v>
      </c>
    </row>
    <row r="124" spans="1:5" ht="15">
      <c r="A124" s="13">
        <v>45627</v>
      </c>
      <c r="B124" s="4">
        <f>15.2554 * CHOOSE(CONTROL!$C$6, $C$13, 100%, $E$13) + CHOOSE(CONTROL!$C$25, 0.0003, 0)</f>
        <v>15.255699999999999</v>
      </c>
      <c r="C124" s="4">
        <f>14.9429 * CHOOSE(CONTROL!$C$6, $C$13, 100%, $E$13) + CHOOSE(CONTROL!$C$25, 0.0003, 0)</f>
        <v>14.943199999999999</v>
      </c>
      <c r="D124" s="4">
        <f>21.3525 * CHOOSE(CONTROL!$C$6, $C$13, 100%, $E$13) + CHOOSE(CONTROL!$C$25, 0, 0)</f>
        <v>21.352499999999999</v>
      </c>
      <c r="E124" s="4">
        <f>87.5736402909232 * CHOOSE(CONTROL!$C$6, $C$13, 100%, $E$13) + CHOOSE(CONTROL!$C$25, 0, 0)</f>
        <v>87.573640290923194</v>
      </c>
    </row>
    <row r="125" spans="1:5" ht="15">
      <c r="A125" s="13">
        <v>45658</v>
      </c>
      <c r="B125" s="4">
        <f>15.1739 * CHOOSE(CONTROL!$C$6, $C$13, 100%, $E$13) + CHOOSE(CONTROL!$C$25, 0.0003, 0)</f>
        <v>15.174199999999999</v>
      </c>
      <c r="C125" s="4">
        <f>14.8614 * CHOOSE(CONTROL!$C$6, $C$13, 100%, $E$13) + CHOOSE(CONTROL!$C$25, 0.0003, 0)</f>
        <v>14.861699999999999</v>
      </c>
      <c r="D125" s="4">
        <f>21.0193 * CHOOSE(CONTROL!$C$6, $C$13, 100%, $E$13) + CHOOSE(CONTROL!$C$25, 0, 0)</f>
        <v>21.019300000000001</v>
      </c>
      <c r="E125" s="4">
        <f>85.1607459341089 * CHOOSE(CONTROL!$C$6, $C$13, 100%, $E$13) + CHOOSE(CONTROL!$C$25, 0, 0)</f>
        <v>85.160745934108903</v>
      </c>
    </row>
    <row r="126" spans="1:5" ht="15">
      <c r="A126" s="13">
        <v>45689</v>
      </c>
      <c r="B126" s="4">
        <f>15.4897 * CHOOSE(CONTROL!$C$6, $C$13, 100%, $E$13) + CHOOSE(CONTROL!$C$25, 0.0003, 0)</f>
        <v>15.489999999999998</v>
      </c>
      <c r="C126" s="4">
        <f>15.1772 * CHOOSE(CONTROL!$C$6, $C$13, 100%, $E$13) + CHOOSE(CONTROL!$C$25, 0.0003, 0)</f>
        <v>15.177499999999998</v>
      </c>
      <c r="D126" s="4">
        <f>21.7046 * CHOOSE(CONTROL!$C$6, $C$13, 100%, $E$13) + CHOOSE(CONTROL!$C$25, 0, 0)</f>
        <v>21.704599999999999</v>
      </c>
      <c r="E126" s="4">
        <f>87.1827976533723 * CHOOSE(CONTROL!$C$6, $C$13, 100%, $E$13) + CHOOSE(CONTROL!$C$25, 0, 0)</f>
        <v>87.182797653372305</v>
      </c>
    </row>
    <row r="127" spans="1:5" ht="15">
      <c r="A127" s="13">
        <v>45717</v>
      </c>
      <c r="B127" s="4">
        <f>16.3189 * CHOOSE(CONTROL!$C$6, $C$13, 100%, $E$13) + CHOOSE(CONTROL!$C$25, 0.0003, 0)</f>
        <v>16.319199999999999</v>
      </c>
      <c r="C127" s="4">
        <f>16.0064 * CHOOSE(CONTROL!$C$6, $C$13, 100%, $E$13) + CHOOSE(CONTROL!$C$25, 0.0003, 0)</f>
        <v>16.006699999999999</v>
      </c>
      <c r="D127" s="4">
        <f>22.7773 * CHOOSE(CONTROL!$C$6, $C$13, 100%, $E$13) + CHOOSE(CONTROL!$C$25, 0, 0)</f>
        <v>22.7773</v>
      </c>
      <c r="E127" s="4">
        <f>92.4928129265124 * CHOOSE(CONTROL!$C$6, $C$13, 100%, $E$13) + CHOOSE(CONTROL!$C$25, 0, 0)</f>
        <v>92.4928129265124</v>
      </c>
    </row>
    <row r="128" spans="1:5" ht="15">
      <c r="A128" s="13">
        <v>45748</v>
      </c>
      <c r="B128" s="4">
        <f>16.9081 * CHOOSE(CONTROL!$C$6, $C$13, 100%, $E$13) + CHOOSE(CONTROL!$C$25, 0.0003, 0)</f>
        <v>16.9084</v>
      </c>
      <c r="C128" s="4">
        <f>16.5956 * CHOOSE(CONTROL!$C$6, $C$13, 100%, $E$13) + CHOOSE(CONTROL!$C$25, 0.0003, 0)</f>
        <v>16.5959</v>
      </c>
      <c r="D128" s="4">
        <f>23.3953 * CHOOSE(CONTROL!$C$6, $C$13, 100%, $E$13) + CHOOSE(CONTROL!$C$25, 0, 0)</f>
        <v>23.395299999999999</v>
      </c>
      <c r="E128" s="4">
        <f>96.2656495433363 * CHOOSE(CONTROL!$C$6, $C$13, 100%, $E$13) + CHOOSE(CONTROL!$C$25, 0, 0)</f>
        <v>96.265649543336295</v>
      </c>
    </row>
    <row r="129" spans="1:5" ht="15">
      <c r="A129" s="13">
        <v>45778</v>
      </c>
      <c r="B129" s="4">
        <f>17.268 * CHOOSE(CONTROL!$C$6, $C$13, 100%, $E$13) + CHOOSE(CONTROL!$C$25, 0.0238, 0)</f>
        <v>17.291800000000002</v>
      </c>
      <c r="C129" s="4">
        <f>16.9555 * CHOOSE(CONTROL!$C$6, $C$13, 100%, $E$13) + CHOOSE(CONTROL!$C$25, 0.0238, 0)</f>
        <v>16.979300000000002</v>
      </c>
      <c r="D129" s="4">
        <f>23.1511 * CHOOSE(CONTROL!$C$6, $C$13, 100%, $E$13) + CHOOSE(CONTROL!$C$25, 0, 0)</f>
        <v>23.1511</v>
      </c>
      <c r="E129" s="4">
        <f>98.5707622939418 * CHOOSE(CONTROL!$C$6, $C$13, 100%, $E$13) + CHOOSE(CONTROL!$C$25, 0, 0)</f>
        <v>98.570762293941797</v>
      </c>
    </row>
    <row r="130" spans="1:5" ht="15">
      <c r="A130" s="13">
        <v>45809</v>
      </c>
      <c r="B130" s="4">
        <f>17.3167 * CHOOSE(CONTROL!$C$6, $C$13, 100%, $E$13) + CHOOSE(CONTROL!$C$25, 0.0238, 0)</f>
        <v>17.340500000000002</v>
      </c>
      <c r="C130" s="4">
        <f>17.0042 * CHOOSE(CONTROL!$C$6, $C$13, 100%, $E$13) + CHOOSE(CONTROL!$C$25, 0.0238, 0)</f>
        <v>17.028000000000002</v>
      </c>
      <c r="D130" s="4">
        <f>23.35 * CHOOSE(CONTROL!$C$6, $C$13, 100%, $E$13) + CHOOSE(CONTROL!$C$25, 0, 0)</f>
        <v>23.35</v>
      </c>
      <c r="E130" s="4">
        <f>98.8826536155132 * CHOOSE(CONTROL!$C$6, $C$13, 100%, $E$13) + CHOOSE(CONTROL!$C$25, 0, 0)</f>
        <v>98.882653615513206</v>
      </c>
    </row>
    <row r="131" spans="1:5" ht="15">
      <c r="A131" s="13">
        <v>45839</v>
      </c>
      <c r="B131" s="4">
        <f>17.3118 * CHOOSE(CONTROL!$C$6, $C$13, 100%, $E$13) + CHOOSE(CONTROL!$C$25, 0.0238, 0)</f>
        <v>17.335600000000003</v>
      </c>
      <c r="C131" s="4">
        <f>16.9993 * CHOOSE(CONTROL!$C$6, $C$13, 100%, $E$13) + CHOOSE(CONTROL!$C$25, 0.0238, 0)</f>
        <v>17.023100000000003</v>
      </c>
      <c r="D131" s="4">
        <f>23.7088 * CHOOSE(CONTROL!$C$6, $C$13, 100%, $E$13) + CHOOSE(CONTROL!$C$25, 0, 0)</f>
        <v>23.7088</v>
      </c>
      <c r="E131" s="4">
        <f>98.8512023898085 * CHOOSE(CONTROL!$C$6, $C$13, 100%, $E$13) + CHOOSE(CONTROL!$C$25, 0, 0)</f>
        <v>98.851202389808506</v>
      </c>
    </row>
    <row r="132" spans="1:5" ht="15">
      <c r="A132" s="13">
        <v>45870</v>
      </c>
      <c r="B132" s="4">
        <f>17.6814 * CHOOSE(CONTROL!$C$6, $C$13, 100%, $E$13) + CHOOSE(CONTROL!$C$25, 0.0238, 0)</f>
        <v>17.705200000000001</v>
      </c>
      <c r="C132" s="4">
        <f>17.3689 * CHOOSE(CONTROL!$C$6, $C$13, 100%, $E$13) + CHOOSE(CONTROL!$C$25, 0.0238, 0)</f>
        <v>17.392700000000001</v>
      </c>
      <c r="D132" s="4">
        <f>23.4718 * CHOOSE(CONTROL!$C$6, $C$13, 100%, $E$13) + CHOOSE(CONTROL!$C$25, 0, 0)</f>
        <v>23.471800000000002</v>
      </c>
      <c r="E132" s="4">
        <f>101.217907124086 * CHOOSE(CONTROL!$C$6, $C$13, 100%, $E$13) + CHOOSE(CONTROL!$C$25, 0, 0)</f>
        <v>101.217907124086</v>
      </c>
    </row>
    <row r="133" spans="1:5" ht="15">
      <c r="A133" s="13">
        <v>45901</v>
      </c>
      <c r="B133" s="4">
        <f>17.0515 * CHOOSE(CONTROL!$C$6, $C$13, 100%, $E$13) + CHOOSE(CONTROL!$C$25, 0.0238, 0)</f>
        <v>17.075300000000002</v>
      </c>
      <c r="C133" s="4">
        <f>16.739 * CHOOSE(CONTROL!$C$6, $C$13, 100%, $E$13) + CHOOSE(CONTROL!$C$25, 0.0238, 0)</f>
        <v>16.762800000000002</v>
      </c>
      <c r="D133" s="4">
        <f>23.3598 * CHOOSE(CONTROL!$C$6, $C$13, 100%, $E$13) + CHOOSE(CONTROL!$C$25, 0, 0)</f>
        <v>23.3598</v>
      </c>
      <c r="E133" s="4">
        <f>97.1842874274605 * CHOOSE(CONTROL!$C$6, $C$13, 100%, $E$13) + CHOOSE(CONTROL!$C$25, 0, 0)</f>
        <v>97.184287427460504</v>
      </c>
    </row>
    <row r="134" spans="1:5" ht="15">
      <c r="A134" s="13">
        <v>45931</v>
      </c>
      <c r="B134" s="4">
        <f>16.5473 * CHOOSE(CONTROL!$C$6, $C$13, 100%, $E$13) + CHOOSE(CONTROL!$C$25, 0.0003, 0)</f>
        <v>16.547599999999999</v>
      </c>
      <c r="C134" s="4">
        <f>16.2348 * CHOOSE(CONTROL!$C$6, $C$13, 100%, $E$13) + CHOOSE(CONTROL!$C$25, 0.0003, 0)</f>
        <v>16.235099999999999</v>
      </c>
      <c r="D134" s="4">
        <f>23.0601 * CHOOSE(CONTROL!$C$6, $C$13, 100%, $E$13) + CHOOSE(CONTROL!$C$25, 0, 0)</f>
        <v>23.060099999999998</v>
      </c>
      <c r="E134" s="4">
        <f>93.95529492178 * CHOOSE(CONTROL!$C$6, $C$13, 100%, $E$13) + CHOOSE(CONTROL!$C$25, 0, 0)</f>
        <v>93.955294921779995</v>
      </c>
    </row>
    <row r="135" spans="1:5" ht="15">
      <c r="A135" s="13">
        <v>45962</v>
      </c>
      <c r="B135" s="4">
        <f>16.2225 * CHOOSE(CONTROL!$C$6, $C$13, 100%, $E$13) + CHOOSE(CONTROL!$C$25, 0.0003, 0)</f>
        <v>16.222799999999999</v>
      </c>
      <c r="C135" s="4">
        <f>15.91 * CHOOSE(CONTROL!$C$6, $C$13, 100%, $E$13) + CHOOSE(CONTROL!$C$25, 0.0003, 0)</f>
        <v>15.910299999999999</v>
      </c>
      <c r="D135" s="4">
        <f>22.957 * CHOOSE(CONTROL!$C$6, $C$13, 100%, $E$13) + CHOOSE(CONTROL!$C$25, 0, 0)</f>
        <v>22.957000000000001</v>
      </c>
      <c r="E135" s="4">
        <f>91.8755826220581 * CHOOSE(CONTROL!$C$6, $C$13, 100%, $E$13) + CHOOSE(CONTROL!$C$25, 0, 0)</f>
        <v>91.875582622058104</v>
      </c>
    </row>
    <row r="136" spans="1:5" ht="15">
      <c r="A136" s="13">
        <v>45992</v>
      </c>
      <c r="B136" s="4">
        <f>15.9978 * CHOOSE(CONTROL!$C$6, $C$13, 100%, $E$13) + CHOOSE(CONTROL!$C$25, 0.0003, 0)</f>
        <v>15.998099999999999</v>
      </c>
      <c r="C136" s="4">
        <f>15.6853 * CHOOSE(CONTROL!$C$6, $C$13, 100%, $E$13) + CHOOSE(CONTROL!$C$25, 0.0003, 0)</f>
        <v>15.685599999999999</v>
      </c>
      <c r="D136" s="4">
        <f>22.1982 * CHOOSE(CONTROL!$C$6, $C$13, 100%, $E$13) + CHOOSE(CONTROL!$C$25, 0, 0)</f>
        <v>22.1982</v>
      </c>
      <c r="E136" s="4">
        <f>90.436689046069 * CHOOSE(CONTROL!$C$6, $C$13, 100%, $E$13) + CHOOSE(CONTROL!$C$25, 0, 0)</f>
        <v>90.436689046069006</v>
      </c>
    </row>
    <row r="137" spans="1:5" ht="15">
      <c r="A137" s="13">
        <v>46023</v>
      </c>
      <c r="B137" s="4">
        <f>15.582 * CHOOSE(CONTROL!$C$6, $C$13, 100%, $E$13) + CHOOSE(CONTROL!$C$25, 0.0003, 0)</f>
        <v>15.5823</v>
      </c>
      <c r="C137" s="4">
        <f>15.2695 * CHOOSE(CONTROL!$C$6, $C$13, 100%, $E$13) + CHOOSE(CONTROL!$C$25, 0.0003, 0)</f>
        <v>15.2698</v>
      </c>
      <c r="D137" s="4">
        <f>21.609 * CHOOSE(CONTROL!$C$6, $C$13, 100%, $E$13) + CHOOSE(CONTROL!$C$25, 0, 0)</f>
        <v>21.609000000000002</v>
      </c>
      <c r="E137" s="4">
        <f>88.0976993196151 * CHOOSE(CONTROL!$C$6, $C$13, 100%, $E$13) + CHOOSE(CONTROL!$C$25, 0, 0)</f>
        <v>88.097699319615103</v>
      </c>
    </row>
    <row r="138" spans="1:5" ht="15">
      <c r="A138" s="13">
        <v>46054</v>
      </c>
      <c r="B138" s="4">
        <f>15.9074 * CHOOSE(CONTROL!$C$6, $C$13, 100%, $E$13) + CHOOSE(CONTROL!$C$25, 0.0003, 0)</f>
        <v>15.9077</v>
      </c>
      <c r="C138" s="4">
        <f>15.5949 * CHOOSE(CONTROL!$C$6, $C$13, 100%, $E$13) + CHOOSE(CONTROL!$C$25, 0.0003, 0)</f>
        <v>15.5952</v>
      </c>
      <c r="D138" s="4">
        <f>22.3151 * CHOOSE(CONTROL!$C$6, $C$13, 100%, $E$13) + CHOOSE(CONTROL!$C$25, 0, 0)</f>
        <v>22.315100000000001</v>
      </c>
      <c r="E138" s="4">
        <f>90.1894858865177 * CHOOSE(CONTROL!$C$6, $C$13, 100%, $E$13) + CHOOSE(CONTROL!$C$25, 0, 0)</f>
        <v>90.189485886517701</v>
      </c>
    </row>
    <row r="139" spans="1:5" ht="15">
      <c r="A139" s="13">
        <v>46082</v>
      </c>
      <c r="B139" s="4">
        <f>16.7621 * CHOOSE(CONTROL!$C$6, $C$13, 100%, $E$13) + CHOOSE(CONTROL!$C$25, 0.0003, 0)</f>
        <v>16.7624</v>
      </c>
      <c r="C139" s="4">
        <f>16.4496 * CHOOSE(CONTROL!$C$6, $C$13, 100%, $E$13) + CHOOSE(CONTROL!$C$25, 0.0003, 0)</f>
        <v>16.4499</v>
      </c>
      <c r="D139" s="4">
        <f>23.4204 * CHOOSE(CONTROL!$C$6, $C$13, 100%, $E$13) + CHOOSE(CONTROL!$C$25, 0, 0)</f>
        <v>23.420400000000001</v>
      </c>
      <c r="E139" s="4">
        <f>95.6826285754933 * CHOOSE(CONTROL!$C$6, $C$13, 100%, $E$13) + CHOOSE(CONTROL!$C$25, 0, 0)</f>
        <v>95.682628575493297</v>
      </c>
    </row>
    <row r="140" spans="1:5" ht="15">
      <c r="A140" s="13">
        <v>46113</v>
      </c>
      <c r="B140" s="4">
        <f>17.3693 * CHOOSE(CONTROL!$C$6, $C$13, 100%, $E$13) + CHOOSE(CONTROL!$C$25, 0.0003, 0)</f>
        <v>17.369599999999998</v>
      </c>
      <c r="C140" s="4">
        <f>17.0568 * CHOOSE(CONTROL!$C$6, $C$13, 100%, $E$13) + CHOOSE(CONTROL!$C$25, 0.0003, 0)</f>
        <v>17.057099999999998</v>
      </c>
      <c r="D140" s="4">
        <f>24.0571 * CHOOSE(CONTROL!$C$6, $C$13, 100%, $E$13) + CHOOSE(CONTROL!$C$25, 0, 0)</f>
        <v>24.057099999999998</v>
      </c>
      <c r="E140" s="4">
        <f>99.585579661762 * CHOOSE(CONTROL!$C$6, $C$13, 100%, $E$13) + CHOOSE(CONTROL!$C$25, 0, 0)</f>
        <v>99.585579661761997</v>
      </c>
    </row>
    <row r="141" spans="1:5" ht="15">
      <c r="A141" s="13">
        <v>46143</v>
      </c>
      <c r="B141" s="4">
        <f>17.7404 * CHOOSE(CONTROL!$C$6, $C$13, 100%, $E$13) + CHOOSE(CONTROL!$C$25, 0.0238, 0)</f>
        <v>17.764200000000002</v>
      </c>
      <c r="C141" s="4">
        <f>17.4279 * CHOOSE(CONTROL!$C$6, $C$13, 100%, $E$13) + CHOOSE(CONTROL!$C$25, 0.0238, 0)</f>
        <v>17.451700000000002</v>
      </c>
      <c r="D141" s="4">
        <f>23.8055 * CHOOSE(CONTROL!$C$6, $C$13, 100%, $E$13) + CHOOSE(CONTROL!$C$25, 0, 0)</f>
        <v>23.805499999999999</v>
      </c>
      <c r="E141" s="4">
        <f>101.97018923479 * CHOOSE(CONTROL!$C$6, $C$13, 100%, $E$13) + CHOOSE(CONTROL!$C$25, 0, 0)</f>
        <v>101.97018923479</v>
      </c>
    </row>
    <row r="142" spans="1:5" ht="15">
      <c r="A142" s="13">
        <v>46174</v>
      </c>
      <c r="B142" s="4">
        <f>17.7906 * CHOOSE(CONTROL!$C$6, $C$13, 100%, $E$13) + CHOOSE(CONTROL!$C$25, 0.0238, 0)</f>
        <v>17.814400000000003</v>
      </c>
      <c r="C142" s="4">
        <f>17.4781 * CHOOSE(CONTROL!$C$6, $C$13, 100%, $E$13) + CHOOSE(CONTROL!$C$25, 0.0238, 0)</f>
        <v>17.501900000000003</v>
      </c>
      <c r="D142" s="4">
        <f>24.0104 * CHOOSE(CONTROL!$C$6, $C$13, 100%, $E$13) + CHOOSE(CONTROL!$C$25, 0, 0)</f>
        <v>24.010400000000001</v>
      </c>
      <c r="E142" s="4">
        <f>102.292836806353 * CHOOSE(CONTROL!$C$6, $C$13, 100%, $E$13) + CHOOSE(CONTROL!$C$25, 0, 0)</f>
        <v>102.29283680635299</v>
      </c>
    </row>
    <row r="143" spans="1:5" ht="15">
      <c r="A143" s="13">
        <v>46204</v>
      </c>
      <c r="B143" s="4">
        <f>17.7855 * CHOOSE(CONTROL!$C$6, $C$13, 100%, $E$13) + CHOOSE(CONTROL!$C$25, 0.0238, 0)</f>
        <v>17.8093</v>
      </c>
      <c r="C143" s="4">
        <f>17.473 * CHOOSE(CONTROL!$C$6, $C$13, 100%, $E$13) + CHOOSE(CONTROL!$C$25, 0.0238, 0)</f>
        <v>17.4968</v>
      </c>
      <c r="D143" s="4">
        <f>24.3801 * CHOOSE(CONTROL!$C$6, $C$13, 100%, $E$13) + CHOOSE(CONTROL!$C$25, 0, 0)</f>
        <v>24.380099999999999</v>
      </c>
      <c r="E143" s="4">
        <f>102.260300916784 * CHOOSE(CONTROL!$C$6, $C$13, 100%, $E$13) + CHOOSE(CONTROL!$C$25, 0, 0)</f>
        <v>102.260300916784</v>
      </c>
    </row>
    <row r="144" spans="1:5" ht="15">
      <c r="A144" s="13">
        <v>46235</v>
      </c>
      <c r="B144" s="4">
        <f>18.1664 * CHOOSE(CONTROL!$C$6, $C$13, 100%, $E$13) + CHOOSE(CONTROL!$C$25, 0.0238, 0)</f>
        <v>18.190200000000001</v>
      </c>
      <c r="C144" s="4">
        <f>17.8539 * CHOOSE(CONTROL!$C$6, $C$13, 100%, $E$13) + CHOOSE(CONTROL!$C$25, 0.0238, 0)</f>
        <v>17.877700000000001</v>
      </c>
      <c r="D144" s="4">
        <f>24.1359 * CHOOSE(CONTROL!$C$6, $C$13, 100%, $E$13) + CHOOSE(CONTROL!$C$25, 0, 0)</f>
        <v>24.135899999999999</v>
      </c>
      <c r="E144" s="4">
        <f>104.708626606885 * CHOOSE(CONTROL!$C$6, $C$13, 100%, $E$13) + CHOOSE(CONTROL!$C$25, 0, 0)</f>
        <v>104.70862660688501</v>
      </c>
    </row>
    <row r="145" spans="1:5" ht="15">
      <c r="A145" s="13">
        <v>46266</v>
      </c>
      <c r="B145" s="4">
        <f>17.5172 * CHOOSE(CONTROL!$C$6, $C$13, 100%, $E$13) + CHOOSE(CONTROL!$C$25, 0.0238, 0)</f>
        <v>17.541</v>
      </c>
      <c r="C145" s="4">
        <f>17.2047 * CHOOSE(CONTROL!$C$6, $C$13, 100%, $E$13) + CHOOSE(CONTROL!$C$25, 0.0238, 0)</f>
        <v>17.2285</v>
      </c>
      <c r="D145" s="4">
        <f>24.0206 * CHOOSE(CONTROL!$C$6, $C$13, 100%, $E$13) + CHOOSE(CONTROL!$C$25, 0, 0)</f>
        <v>24.020600000000002</v>
      </c>
      <c r="E145" s="4">
        <f>100.535898769603 * CHOOSE(CONTROL!$C$6, $C$13, 100%, $E$13) + CHOOSE(CONTROL!$C$25, 0, 0)</f>
        <v>100.53589876960299</v>
      </c>
    </row>
    <row r="146" spans="1:5" ht="15">
      <c r="A146" s="13">
        <v>46296</v>
      </c>
      <c r="B146" s="4">
        <f>16.9975 * CHOOSE(CONTROL!$C$6, $C$13, 100%, $E$13) + CHOOSE(CONTROL!$C$25, 0.0003, 0)</f>
        <v>16.997799999999998</v>
      </c>
      <c r="C146" s="4">
        <f>16.685 * CHOOSE(CONTROL!$C$6, $C$13, 100%, $E$13) + CHOOSE(CONTROL!$C$25, 0.0003, 0)</f>
        <v>16.685299999999998</v>
      </c>
      <c r="D146" s="4">
        <f>23.7117 * CHOOSE(CONTROL!$C$6, $C$13, 100%, $E$13) + CHOOSE(CONTROL!$C$25, 0, 0)</f>
        <v>23.7117</v>
      </c>
      <c r="E146" s="4">
        <f>97.1955474404728 * CHOOSE(CONTROL!$C$6, $C$13, 100%, $E$13) + CHOOSE(CONTROL!$C$25, 0, 0)</f>
        <v>97.195547440472794</v>
      </c>
    </row>
    <row r="147" spans="1:5" ht="15">
      <c r="A147" s="13">
        <v>46327</v>
      </c>
      <c r="B147" s="4">
        <f>16.6627 * CHOOSE(CONTROL!$C$6, $C$13, 100%, $E$13) + CHOOSE(CONTROL!$C$25, 0.0003, 0)</f>
        <v>16.663</v>
      </c>
      <c r="C147" s="4">
        <f>16.3502 * CHOOSE(CONTROL!$C$6, $C$13, 100%, $E$13) + CHOOSE(CONTROL!$C$25, 0.0003, 0)</f>
        <v>16.3505</v>
      </c>
      <c r="D147" s="4">
        <f>23.6055 * CHOOSE(CONTROL!$C$6, $C$13, 100%, $E$13) + CHOOSE(CONTROL!$C$25, 0, 0)</f>
        <v>23.605499999999999</v>
      </c>
      <c r="E147" s="4">
        <f>95.0441117426928 * CHOOSE(CONTROL!$C$6, $C$13, 100%, $E$13) + CHOOSE(CONTROL!$C$25, 0, 0)</f>
        <v>95.044111742692806</v>
      </c>
    </row>
    <row r="148" spans="1:5" ht="15">
      <c r="A148" s="13">
        <v>46357</v>
      </c>
      <c r="B148" s="4">
        <f>16.4311 * CHOOSE(CONTROL!$C$6, $C$13, 100%, $E$13) + CHOOSE(CONTROL!$C$25, 0.0003, 0)</f>
        <v>16.4314</v>
      </c>
      <c r="C148" s="4">
        <f>16.1186 * CHOOSE(CONTROL!$C$6, $C$13, 100%, $E$13) + CHOOSE(CONTROL!$C$25, 0.0003, 0)</f>
        <v>16.1189</v>
      </c>
      <c r="D148" s="4">
        <f>22.8237 * CHOOSE(CONTROL!$C$6, $C$13, 100%, $E$13) + CHOOSE(CONTROL!$C$25, 0, 0)</f>
        <v>22.823699999999999</v>
      </c>
      <c r="E148" s="4">
        <f>93.5555947948905 * CHOOSE(CONTROL!$C$6, $C$13, 100%, $E$13) + CHOOSE(CONTROL!$C$25, 0, 0)</f>
        <v>93.555594794890496</v>
      </c>
    </row>
    <row r="149" spans="1:5" ht="15">
      <c r="A149" s="13">
        <v>46388</v>
      </c>
      <c r="B149" s="4">
        <f>15.9453 * CHOOSE(CONTROL!$C$6, $C$13, 100%, $E$13) + CHOOSE(CONTROL!$C$25, 0.0003, 0)</f>
        <v>15.945599999999999</v>
      </c>
      <c r="C149" s="4">
        <f>15.6328 * CHOOSE(CONTROL!$C$6, $C$13, 100%, $E$13) + CHOOSE(CONTROL!$C$25, 0.0003, 0)</f>
        <v>15.633099999999999</v>
      </c>
      <c r="D149" s="4">
        <f>22.1013 * CHOOSE(CONTROL!$C$6, $C$13, 100%, $E$13) + CHOOSE(CONTROL!$C$25, 0, 0)</f>
        <v>22.101299999999998</v>
      </c>
      <c r="E149" s="4">
        <f>90.4819577530519 * CHOOSE(CONTROL!$C$6, $C$13, 100%, $E$13) + CHOOSE(CONTROL!$C$25, 0, 0)</f>
        <v>90.481957753051901</v>
      </c>
    </row>
    <row r="150" spans="1:5" ht="15">
      <c r="A150" s="13">
        <v>46419</v>
      </c>
      <c r="B150" s="4">
        <f>16.2794 * CHOOSE(CONTROL!$C$6, $C$13, 100%, $E$13) + CHOOSE(CONTROL!$C$25, 0.0003, 0)</f>
        <v>16.279699999999998</v>
      </c>
      <c r="C150" s="4">
        <f>15.9669 * CHOOSE(CONTROL!$C$6, $C$13, 100%, $E$13) + CHOOSE(CONTROL!$C$25, 0.0003, 0)</f>
        <v>15.9672</v>
      </c>
      <c r="D150" s="4">
        <f>22.8247 * CHOOSE(CONTROL!$C$6, $C$13, 100%, $E$13) + CHOOSE(CONTROL!$C$25, 0, 0)</f>
        <v>22.8247</v>
      </c>
      <c r="E150" s="4">
        <f>92.6303560113109 * CHOOSE(CONTROL!$C$6, $C$13, 100%, $E$13) + CHOOSE(CONTROL!$C$25, 0, 0)</f>
        <v>92.630356011310894</v>
      </c>
    </row>
    <row r="151" spans="1:5" ht="15">
      <c r="A151" s="13">
        <v>46447</v>
      </c>
      <c r="B151" s="4">
        <f>17.1567 * CHOOSE(CONTROL!$C$6, $C$13, 100%, $E$13) + CHOOSE(CONTROL!$C$25, 0.0003, 0)</f>
        <v>17.157</v>
      </c>
      <c r="C151" s="4">
        <f>16.8442 * CHOOSE(CONTROL!$C$6, $C$13, 100%, $E$13) + CHOOSE(CONTROL!$C$25, 0.0003, 0)</f>
        <v>16.8445</v>
      </c>
      <c r="D151" s="4">
        <f>23.9572 * CHOOSE(CONTROL!$C$6, $C$13, 100%, $E$13) + CHOOSE(CONTROL!$C$25, 0, 0)</f>
        <v>23.9572</v>
      </c>
      <c r="E151" s="4">
        <f>98.2721640103162 * CHOOSE(CONTROL!$C$6, $C$13, 100%, $E$13) + CHOOSE(CONTROL!$C$25, 0, 0)</f>
        <v>98.272164010316203</v>
      </c>
    </row>
    <row r="152" spans="1:5" ht="15">
      <c r="A152" s="13">
        <v>46478</v>
      </c>
      <c r="B152" s="4">
        <f>17.7801 * CHOOSE(CONTROL!$C$6, $C$13, 100%, $E$13) + CHOOSE(CONTROL!$C$25, 0.0003, 0)</f>
        <v>17.7804</v>
      </c>
      <c r="C152" s="4">
        <f>17.4676 * CHOOSE(CONTROL!$C$6, $C$13, 100%, $E$13) + CHOOSE(CONTROL!$C$25, 0.0003, 0)</f>
        <v>17.4679</v>
      </c>
      <c r="D152" s="4">
        <f>24.6096 * CHOOSE(CONTROL!$C$6, $C$13, 100%, $E$13) + CHOOSE(CONTROL!$C$25, 0, 0)</f>
        <v>24.6096</v>
      </c>
      <c r="E152" s="4">
        <f>102.280743780587 * CHOOSE(CONTROL!$C$6, $C$13, 100%, $E$13) + CHOOSE(CONTROL!$C$25, 0, 0)</f>
        <v>102.280743780587</v>
      </c>
    </row>
    <row r="153" spans="1:5" ht="15">
      <c r="A153" s="13">
        <v>46508</v>
      </c>
      <c r="B153" s="4">
        <f>18.1609 * CHOOSE(CONTROL!$C$6, $C$13, 100%, $E$13) + CHOOSE(CONTROL!$C$25, 0.0238, 0)</f>
        <v>18.184700000000003</v>
      </c>
      <c r="C153" s="4">
        <f>17.8484 * CHOOSE(CONTROL!$C$6, $C$13, 100%, $E$13) + CHOOSE(CONTROL!$C$25, 0.0238, 0)</f>
        <v>17.872200000000003</v>
      </c>
      <c r="D153" s="4">
        <f>24.3518 * CHOOSE(CONTROL!$C$6, $C$13, 100%, $E$13) + CHOOSE(CONTROL!$C$25, 0, 0)</f>
        <v>24.351800000000001</v>
      </c>
      <c r="E153" s="4">
        <f>104.729889947973 * CHOOSE(CONTROL!$C$6, $C$13, 100%, $E$13) + CHOOSE(CONTROL!$C$25, 0, 0)</f>
        <v>104.72988994797301</v>
      </c>
    </row>
    <row r="154" spans="1:5" ht="15">
      <c r="A154" s="13">
        <v>46539</v>
      </c>
      <c r="B154" s="4">
        <f>18.2125 * CHOOSE(CONTROL!$C$6, $C$13, 100%, $E$13) + CHOOSE(CONTROL!$C$25, 0.0238, 0)</f>
        <v>18.2363</v>
      </c>
      <c r="C154" s="4">
        <f>17.9 * CHOOSE(CONTROL!$C$6, $C$13, 100%, $E$13) + CHOOSE(CONTROL!$C$25, 0.0238, 0)</f>
        <v>17.9238</v>
      </c>
      <c r="D154" s="4">
        <f>24.5617 * CHOOSE(CONTROL!$C$6, $C$13, 100%, $E$13) + CHOOSE(CONTROL!$C$25, 0, 0)</f>
        <v>24.561699999999998</v>
      </c>
      <c r="E154" s="4">
        <f>105.061269588586 * CHOOSE(CONTROL!$C$6, $C$13, 100%, $E$13) + CHOOSE(CONTROL!$C$25, 0, 0)</f>
        <v>105.061269588586</v>
      </c>
    </row>
    <row r="155" spans="1:5" ht="15">
      <c r="A155" s="13">
        <v>46569</v>
      </c>
      <c r="B155" s="4">
        <f>18.2073 * CHOOSE(CONTROL!$C$6, $C$13, 100%, $E$13) + CHOOSE(CONTROL!$C$25, 0.0238, 0)</f>
        <v>18.231100000000001</v>
      </c>
      <c r="C155" s="4">
        <f>17.8948 * CHOOSE(CONTROL!$C$6, $C$13, 100%, $E$13) + CHOOSE(CONTROL!$C$25, 0.0238, 0)</f>
        <v>17.918600000000001</v>
      </c>
      <c r="D155" s="4">
        <f>24.9406 * CHOOSE(CONTROL!$C$6, $C$13, 100%, $E$13) + CHOOSE(CONTROL!$C$25, 0, 0)</f>
        <v>24.9406</v>
      </c>
      <c r="E155" s="4">
        <f>105.027853154239 * CHOOSE(CONTROL!$C$6, $C$13, 100%, $E$13) + CHOOSE(CONTROL!$C$25, 0, 0)</f>
        <v>105.027853154239</v>
      </c>
    </row>
    <row r="156" spans="1:5" ht="15">
      <c r="A156" s="13">
        <v>46600</v>
      </c>
      <c r="B156" s="4">
        <f>18.5983 * CHOOSE(CONTROL!$C$6, $C$13, 100%, $E$13) + CHOOSE(CONTROL!$C$25, 0.0238, 0)</f>
        <v>18.6221</v>
      </c>
      <c r="C156" s="4">
        <f>18.2858 * CHOOSE(CONTROL!$C$6, $C$13, 100%, $E$13) + CHOOSE(CONTROL!$C$25, 0.0238, 0)</f>
        <v>18.3096</v>
      </c>
      <c r="D156" s="4">
        <f>24.6904 * CHOOSE(CONTROL!$C$6, $C$13, 100%, $E$13) + CHOOSE(CONTROL!$C$25, 0, 0)</f>
        <v>24.6904</v>
      </c>
      <c r="E156" s="4">
        <f>107.542439838889 * CHOOSE(CONTROL!$C$6, $C$13, 100%, $E$13) + CHOOSE(CONTROL!$C$25, 0, 0)</f>
        <v>107.542439838889</v>
      </c>
    </row>
    <row r="157" spans="1:5" ht="15">
      <c r="A157" s="13">
        <v>46631</v>
      </c>
      <c r="B157" s="4">
        <f>17.9318 * CHOOSE(CONTROL!$C$6, $C$13, 100%, $E$13) + CHOOSE(CONTROL!$C$25, 0.0238, 0)</f>
        <v>17.9556</v>
      </c>
      <c r="C157" s="4">
        <f>17.6193 * CHOOSE(CONTROL!$C$6, $C$13, 100%, $E$13) + CHOOSE(CONTROL!$C$25, 0.0238, 0)</f>
        <v>17.6431</v>
      </c>
      <c r="D157" s="4">
        <f>24.5722 * CHOOSE(CONTROL!$C$6, $C$13, 100%, $E$13) + CHOOSE(CONTROL!$C$25, 0, 0)</f>
        <v>24.572199999999999</v>
      </c>
      <c r="E157" s="4">
        <f>103.256782133821 * CHOOSE(CONTROL!$C$6, $C$13, 100%, $E$13) + CHOOSE(CONTROL!$C$25, 0, 0)</f>
        <v>103.25678213382101</v>
      </c>
    </row>
    <row r="158" spans="1:5" ht="15">
      <c r="A158" s="13">
        <v>46661</v>
      </c>
      <c r="B158" s="4">
        <f>17.3983 * CHOOSE(CONTROL!$C$6, $C$13, 100%, $E$13) + CHOOSE(CONTROL!$C$25, 0.0003, 0)</f>
        <v>17.398599999999998</v>
      </c>
      <c r="C158" s="4">
        <f>17.0858 * CHOOSE(CONTROL!$C$6, $C$13, 100%, $E$13) + CHOOSE(CONTROL!$C$25, 0.0003, 0)</f>
        <v>17.086099999999998</v>
      </c>
      <c r="D158" s="4">
        <f>24.2557 * CHOOSE(CONTROL!$C$6, $C$13, 100%, $E$13) + CHOOSE(CONTROL!$C$25, 0, 0)</f>
        <v>24.255700000000001</v>
      </c>
      <c r="E158" s="4">
        <f>99.8260282074757 * CHOOSE(CONTROL!$C$6, $C$13, 100%, $E$13) + CHOOSE(CONTROL!$C$25, 0, 0)</f>
        <v>99.826028207475701</v>
      </c>
    </row>
    <row r="159" spans="1:5" ht="15">
      <c r="A159" s="13">
        <v>46692</v>
      </c>
      <c r="B159" s="4">
        <f>17.0547 * CHOOSE(CONTROL!$C$6, $C$13, 100%, $E$13) + CHOOSE(CONTROL!$C$25, 0.0003, 0)</f>
        <v>17.055</v>
      </c>
      <c r="C159" s="4">
        <f>16.7422 * CHOOSE(CONTROL!$C$6, $C$13, 100%, $E$13) + CHOOSE(CONTROL!$C$25, 0.0003, 0)</f>
        <v>16.7425</v>
      </c>
      <c r="D159" s="4">
        <f>24.1469 * CHOOSE(CONTROL!$C$6, $C$13, 100%, $E$13) + CHOOSE(CONTROL!$C$25, 0, 0)</f>
        <v>24.146899999999999</v>
      </c>
      <c r="E159" s="4">
        <f>97.6163664862463 * CHOOSE(CONTROL!$C$6, $C$13, 100%, $E$13) + CHOOSE(CONTROL!$C$25, 0, 0)</f>
        <v>97.616366486246307</v>
      </c>
    </row>
    <row r="160" spans="1:5" ht="15">
      <c r="A160" s="13">
        <v>46722</v>
      </c>
      <c r="B160" s="4">
        <f>16.817 * CHOOSE(CONTROL!$C$6, $C$13, 100%, $E$13) + CHOOSE(CONTROL!$C$25, 0.0003, 0)</f>
        <v>16.817299999999999</v>
      </c>
      <c r="C160" s="4">
        <f>16.5045 * CHOOSE(CONTROL!$C$6, $C$13, 100%, $E$13) + CHOOSE(CONTROL!$C$25, 0.0003, 0)</f>
        <v>16.504799999999999</v>
      </c>
      <c r="D160" s="4">
        <f>23.3458 * CHOOSE(CONTROL!$C$6, $C$13, 100%, $E$13) + CHOOSE(CONTROL!$C$25, 0, 0)</f>
        <v>23.345800000000001</v>
      </c>
      <c r="E160" s="4">
        <f>96.0875646148475 * CHOOSE(CONTROL!$C$6, $C$13, 100%, $E$13) + CHOOSE(CONTROL!$C$25, 0, 0)</f>
        <v>96.087564614847494</v>
      </c>
    </row>
    <row r="161" spans="1:5" ht="15">
      <c r="A161" s="13">
        <v>46753</v>
      </c>
      <c r="B161" s="4">
        <f>16.2871 * CHOOSE(CONTROL!$C$6, $C$13, 100%, $E$13) + CHOOSE(CONTROL!$C$25, 0.0003, 0)</f>
        <v>16.287399999999998</v>
      </c>
      <c r="C161" s="4">
        <f>15.9746 * CHOOSE(CONTROL!$C$6, $C$13, 100%, $E$13) + CHOOSE(CONTROL!$C$25, 0.0003, 0)</f>
        <v>15.9749</v>
      </c>
      <c r="D161" s="4">
        <f>22.5235 * CHOOSE(CONTROL!$C$6, $C$13, 100%, $E$13) + CHOOSE(CONTROL!$C$25, 0, 0)</f>
        <v>22.523499999999999</v>
      </c>
      <c r="E161" s="4">
        <f>92.7779513859788 * CHOOSE(CONTROL!$C$6, $C$13, 100%, $E$13) + CHOOSE(CONTROL!$C$25, 0, 0)</f>
        <v>92.777951385978795</v>
      </c>
    </row>
    <row r="162" spans="1:5" ht="15">
      <c r="A162" s="13">
        <v>46784</v>
      </c>
      <c r="B162" s="4">
        <f>16.6293 * CHOOSE(CONTROL!$C$6, $C$13, 100%, $E$13) + CHOOSE(CONTROL!$C$25, 0.0003, 0)</f>
        <v>16.6296</v>
      </c>
      <c r="C162" s="4">
        <f>16.3168 * CHOOSE(CONTROL!$C$6, $C$13, 100%, $E$13) + CHOOSE(CONTROL!$C$25, 0.0003, 0)</f>
        <v>16.3171</v>
      </c>
      <c r="D162" s="4">
        <f>23.2618 * CHOOSE(CONTROL!$C$6, $C$13, 100%, $E$13) + CHOOSE(CONTROL!$C$25, 0, 0)</f>
        <v>23.261800000000001</v>
      </c>
      <c r="E162" s="4">
        <f>94.9808655813864 * CHOOSE(CONTROL!$C$6, $C$13, 100%, $E$13) + CHOOSE(CONTROL!$C$25, 0, 0)</f>
        <v>94.980865581386396</v>
      </c>
    </row>
    <row r="163" spans="1:5" ht="15">
      <c r="A163" s="13">
        <v>46813</v>
      </c>
      <c r="B163" s="4">
        <f>17.528 * CHOOSE(CONTROL!$C$6, $C$13, 100%, $E$13) + CHOOSE(CONTROL!$C$25, 0.0003, 0)</f>
        <v>17.528299999999998</v>
      </c>
      <c r="C163" s="4">
        <f>17.2155 * CHOOSE(CONTROL!$C$6, $C$13, 100%, $E$13) + CHOOSE(CONTROL!$C$25, 0.0003, 0)</f>
        <v>17.215799999999998</v>
      </c>
      <c r="D163" s="4">
        <f>24.4177 * CHOOSE(CONTROL!$C$6, $C$13, 100%, $E$13) + CHOOSE(CONTROL!$C$25, 0, 0)</f>
        <v>24.4177</v>
      </c>
      <c r="E163" s="4">
        <f>100.765835328497 * CHOOSE(CONTROL!$C$6, $C$13, 100%, $E$13) + CHOOSE(CONTROL!$C$25, 0, 0)</f>
        <v>100.765835328497</v>
      </c>
    </row>
    <row r="164" spans="1:5" ht="15">
      <c r="A164" s="13">
        <v>46844</v>
      </c>
      <c r="B164" s="4">
        <f>18.1665 * CHOOSE(CONTROL!$C$6, $C$13, 100%, $E$13) + CHOOSE(CONTROL!$C$25, 0.0003, 0)</f>
        <v>18.166799999999999</v>
      </c>
      <c r="C164" s="4">
        <f>17.854 * CHOOSE(CONTROL!$C$6, $C$13, 100%, $E$13) + CHOOSE(CONTROL!$C$25, 0.0003, 0)</f>
        <v>17.854299999999999</v>
      </c>
      <c r="D164" s="4">
        <f>25.0835 * CHOOSE(CONTROL!$C$6, $C$13, 100%, $E$13) + CHOOSE(CONTROL!$C$25, 0, 0)</f>
        <v>25.083500000000001</v>
      </c>
      <c r="E164" s="4">
        <f>104.876133428678 * CHOOSE(CONTROL!$C$6, $C$13, 100%, $E$13) + CHOOSE(CONTROL!$C$25, 0, 0)</f>
        <v>104.876133428678</v>
      </c>
    </row>
    <row r="165" spans="1:5" ht="15">
      <c r="A165" s="13">
        <v>46874</v>
      </c>
      <c r="B165" s="4">
        <f>18.5566 * CHOOSE(CONTROL!$C$6, $C$13, 100%, $E$13) + CHOOSE(CONTROL!$C$25, 0.0238, 0)</f>
        <v>18.580400000000001</v>
      </c>
      <c r="C165" s="4">
        <f>18.2441 * CHOOSE(CONTROL!$C$6, $C$13, 100%, $E$13) + CHOOSE(CONTROL!$C$25, 0.0238, 0)</f>
        <v>18.267900000000001</v>
      </c>
      <c r="D165" s="4">
        <f>24.8204 * CHOOSE(CONTROL!$C$6, $C$13, 100%, $E$13) + CHOOSE(CONTROL!$C$25, 0, 0)</f>
        <v>24.820399999999999</v>
      </c>
      <c r="E165" s="4">
        <f>107.387427057791 * CHOOSE(CONTROL!$C$6, $C$13, 100%, $E$13) + CHOOSE(CONTROL!$C$25, 0, 0)</f>
        <v>107.387427057791</v>
      </c>
    </row>
    <row r="166" spans="1:5" ht="15">
      <c r="A166" s="13">
        <v>46905</v>
      </c>
      <c r="B166" s="4">
        <f>18.6093 * CHOOSE(CONTROL!$C$6, $C$13, 100%, $E$13) + CHOOSE(CONTROL!$C$25, 0.0238, 0)</f>
        <v>18.633100000000002</v>
      </c>
      <c r="C166" s="4">
        <f>18.2968 * CHOOSE(CONTROL!$C$6, $C$13, 100%, $E$13) + CHOOSE(CONTROL!$C$25, 0.0238, 0)</f>
        <v>18.320600000000002</v>
      </c>
      <c r="D166" s="4">
        <f>25.0346 * CHOOSE(CONTROL!$C$6, $C$13, 100%, $E$13) + CHOOSE(CONTROL!$C$25, 0, 0)</f>
        <v>25.034600000000001</v>
      </c>
      <c r="E166" s="4">
        <f>107.727215507893 * CHOOSE(CONTROL!$C$6, $C$13, 100%, $E$13) + CHOOSE(CONTROL!$C$25, 0, 0)</f>
        <v>107.72721550789301</v>
      </c>
    </row>
    <row r="167" spans="1:5" ht="15">
      <c r="A167" s="13">
        <v>46935</v>
      </c>
      <c r="B167" s="4">
        <f>18.604 * CHOOSE(CONTROL!$C$6, $C$13, 100%, $E$13) + CHOOSE(CONTROL!$C$25, 0.0238, 0)</f>
        <v>18.627800000000001</v>
      </c>
      <c r="C167" s="4">
        <f>18.2915 * CHOOSE(CONTROL!$C$6, $C$13, 100%, $E$13) + CHOOSE(CONTROL!$C$25, 0.0238, 0)</f>
        <v>18.315300000000001</v>
      </c>
      <c r="D167" s="4">
        <f>25.4212 * CHOOSE(CONTROL!$C$6, $C$13, 100%, $E$13) + CHOOSE(CONTROL!$C$25, 0, 0)</f>
        <v>25.421199999999999</v>
      </c>
      <c r="E167" s="4">
        <f>107.69295112637 * CHOOSE(CONTROL!$C$6, $C$13, 100%, $E$13) + CHOOSE(CONTROL!$C$25, 0, 0)</f>
        <v>107.69295112637</v>
      </c>
    </row>
    <row r="168" spans="1:5" ht="15">
      <c r="A168" s="13">
        <v>46966</v>
      </c>
      <c r="B168" s="4">
        <f>19.0046 * CHOOSE(CONTROL!$C$6, $C$13, 100%, $E$13) + CHOOSE(CONTROL!$C$25, 0.0238, 0)</f>
        <v>19.028400000000001</v>
      </c>
      <c r="C168" s="4">
        <f>18.6921 * CHOOSE(CONTROL!$C$6, $C$13, 100%, $E$13) + CHOOSE(CONTROL!$C$25, 0.0238, 0)</f>
        <v>18.715900000000001</v>
      </c>
      <c r="D168" s="4">
        <f>25.1659 * CHOOSE(CONTROL!$C$6, $C$13, 100%, $E$13) + CHOOSE(CONTROL!$C$25, 0, 0)</f>
        <v>25.165900000000001</v>
      </c>
      <c r="E168" s="4">
        <f>110.271345835966 * CHOOSE(CONTROL!$C$6, $C$13, 100%, $E$13) + CHOOSE(CONTROL!$C$25, 0, 0)</f>
        <v>110.271345835966</v>
      </c>
    </row>
    <row r="169" spans="1:5" ht="15">
      <c r="A169" s="13">
        <v>46997</v>
      </c>
      <c r="B169" s="4">
        <f>18.3219 * CHOOSE(CONTROL!$C$6, $C$13, 100%, $E$13) + CHOOSE(CONTROL!$C$25, 0.0238, 0)</f>
        <v>18.345700000000001</v>
      </c>
      <c r="C169" s="4">
        <f>18.0094 * CHOOSE(CONTROL!$C$6, $C$13, 100%, $E$13) + CHOOSE(CONTROL!$C$25, 0.0238, 0)</f>
        <v>18.033200000000001</v>
      </c>
      <c r="D169" s="4">
        <f>25.0453 * CHOOSE(CONTROL!$C$6, $C$13, 100%, $E$13) + CHOOSE(CONTROL!$C$25, 0, 0)</f>
        <v>25.045300000000001</v>
      </c>
      <c r="E169" s="4">
        <f>105.876938905658 * CHOOSE(CONTROL!$C$6, $C$13, 100%, $E$13) + CHOOSE(CONTROL!$C$25, 0, 0)</f>
        <v>105.87693890565799</v>
      </c>
    </row>
    <row r="170" spans="1:5" ht="15">
      <c r="A170" s="13">
        <v>47027</v>
      </c>
      <c r="B170" s="4">
        <f>17.7755 * CHOOSE(CONTROL!$C$6, $C$13, 100%, $E$13) + CHOOSE(CONTROL!$C$25, 0.0003, 0)</f>
        <v>17.7758</v>
      </c>
      <c r="C170" s="4">
        <f>17.463 * CHOOSE(CONTROL!$C$6, $C$13, 100%, $E$13) + CHOOSE(CONTROL!$C$25, 0.0003, 0)</f>
        <v>17.4633</v>
      </c>
      <c r="D170" s="4">
        <f>24.7223 * CHOOSE(CONTROL!$C$6, $C$13, 100%, $E$13) + CHOOSE(CONTROL!$C$25, 0, 0)</f>
        <v>24.722300000000001</v>
      </c>
      <c r="E170" s="4">
        <f>102.35912906931 * CHOOSE(CONTROL!$C$6, $C$13, 100%, $E$13) + CHOOSE(CONTROL!$C$25, 0, 0)</f>
        <v>102.35912906931</v>
      </c>
    </row>
    <row r="171" spans="1:5" ht="15">
      <c r="A171" s="13">
        <v>47058</v>
      </c>
      <c r="B171" s="4">
        <f>17.4235 * CHOOSE(CONTROL!$C$6, $C$13, 100%, $E$13) + CHOOSE(CONTROL!$C$25, 0.0003, 0)</f>
        <v>17.4238</v>
      </c>
      <c r="C171" s="4">
        <f>17.111 * CHOOSE(CONTROL!$C$6, $C$13, 100%, $E$13) + CHOOSE(CONTROL!$C$25, 0.0003, 0)</f>
        <v>17.1113</v>
      </c>
      <c r="D171" s="4">
        <f>24.6112 * CHOOSE(CONTROL!$C$6, $C$13, 100%, $E$13) + CHOOSE(CONTROL!$C$25, 0, 0)</f>
        <v>24.6112</v>
      </c>
      <c r="E171" s="4">
        <f>100.093396841111 * CHOOSE(CONTROL!$C$6, $C$13, 100%, $E$13) + CHOOSE(CONTROL!$C$25, 0, 0)</f>
        <v>100.093396841111</v>
      </c>
    </row>
    <row r="172" spans="1:5" ht="15">
      <c r="A172" s="13">
        <v>47088</v>
      </c>
      <c r="B172" s="4">
        <f>17.18 * CHOOSE(CONTROL!$C$6, $C$13, 100%, $E$13) + CHOOSE(CONTROL!$C$25, 0.0003, 0)</f>
        <v>17.180299999999999</v>
      </c>
      <c r="C172" s="4">
        <f>16.8675 * CHOOSE(CONTROL!$C$6, $C$13, 100%, $E$13) + CHOOSE(CONTROL!$C$25, 0.0003, 0)</f>
        <v>16.867799999999999</v>
      </c>
      <c r="D172" s="4">
        <f>23.7937 * CHOOSE(CONTROL!$C$6, $C$13, 100%, $E$13) + CHOOSE(CONTROL!$C$25, 0, 0)</f>
        <v>23.793700000000001</v>
      </c>
      <c r="E172" s="4">
        <f>98.5258013864397 * CHOOSE(CONTROL!$C$6, $C$13, 100%, $E$13) + CHOOSE(CONTROL!$C$25, 0, 0)</f>
        <v>98.525801386439696</v>
      </c>
    </row>
    <row r="173" spans="1:5" ht="15">
      <c r="A173" s="13">
        <v>47119</v>
      </c>
      <c r="B173" s="4">
        <f>16.6893 * CHOOSE(CONTROL!$C$6, $C$13, 100%, $E$13) + CHOOSE(CONTROL!$C$25, 0.0003, 0)</f>
        <v>16.689599999999999</v>
      </c>
      <c r="C173" s="4">
        <f>16.3768 * CHOOSE(CONTROL!$C$6, $C$13, 100%, $E$13) + CHOOSE(CONTROL!$C$25, 0.0003, 0)</f>
        <v>16.377099999999999</v>
      </c>
      <c r="D173" s="4">
        <f>22.9509 * CHOOSE(CONTROL!$C$6, $C$13, 100%, $E$13) + CHOOSE(CONTROL!$C$25, 0, 0)</f>
        <v>22.950900000000001</v>
      </c>
      <c r="E173" s="4">
        <f>95.3697175003896 * CHOOSE(CONTROL!$C$6, $C$13, 100%, $E$13) + CHOOSE(CONTROL!$C$25, 0, 0)</f>
        <v>95.369717500389598</v>
      </c>
    </row>
    <row r="174" spans="1:5" ht="15">
      <c r="A174" s="13">
        <v>47150</v>
      </c>
      <c r="B174" s="4">
        <f>17.041 * CHOOSE(CONTROL!$C$6, $C$13, 100%, $E$13) + CHOOSE(CONTROL!$C$25, 0.0003, 0)</f>
        <v>17.0413</v>
      </c>
      <c r="C174" s="4">
        <f>16.7285 * CHOOSE(CONTROL!$C$6, $C$13, 100%, $E$13) + CHOOSE(CONTROL!$C$25, 0.0003, 0)</f>
        <v>16.7288</v>
      </c>
      <c r="D174" s="4">
        <f>23.7043 * CHOOSE(CONTROL!$C$6, $C$13, 100%, $E$13) + CHOOSE(CONTROL!$C$25, 0, 0)</f>
        <v>23.7043</v>
      </c>
      <c r="E174" s="4">
        <f>97.6341704372689 * CHOOSE(CONTROL!$C$6, $C$13, 100%, $E$13) + CHOOSE(CONTROL!$C$25, 0, 0)</f>
        <v>97.634170437268907</v>
      </c>
    </row>
    <row r="175" spans="1:5" ht="15">
      <c r="A175" s="13">
        <v>47178</v>
      </c>
      <c r="B175" s="4">
        <f>17.9647 * CHOOSE(CONTROL!$C$6, $C$13, 100%, $E$13) + CHOOSE(CONTROL!$C$25, 0.0003, 0)</f>
        <v>17.965</v>
      </c>
      <c r="C175" s="4">
        <f>17.6522 * CHOOSE(CONTROL!$C$6, $C$13, 100%, $E$13) + CHOOSE(CONTROL!$C$25, 0.0003, 0)</f>
        <v>17.6525</v>
      </c>
      <c r="D175" s="4">
        <f>24.8838 * CHOOSE(CONTROL!$C$6, $C$13, 100%, $E$13) + CHOOSE(CONTROL!$C$25, 0, 0)</f>
        <v>24.883800000000001</v>
      </c>
      <c r="E175" s="4">
        <f>103.580744189851 * CHOOSE(CONTROL!$C$6, $C$13, 100%, $E$13) + CHOOSE(CONTROL!$C$25, 0, 0)</f>
        <v>103.580744189851</v>
      </c>
    </row>
    <row r="176" spans="1:5" ht="15">
      <c r="A176" s="13">
        <v>47209</v>
      </c>
      <c r="B176" s="4">
        <f>18.621 * CHOOSE(CONTROL!$C$6, $C$13, 100%, $E$13) + CHOOSE(CONTROL!$C$25, 0.0003, 0)</f>
        <v>18.621299999999998</v>
      </c>
      <c r="C176" s="4">
        <f>18.3085 * CHOOSE(CONTROL!$C$6, $C$13, 100%, $E$13) + CHOOSE(CONTROL!$C$25, 0.0003, 0)</f>
        <v>18.308799999999998</v>
      </c>
      <c r="D176" s="4">
        <f>25.5632 * CHOOSE(CONTROL!$C$6, $C$13, 100%, $E$13) + CHOOSE(CONTROL!$C$25, 0, 0)</f>
        <v>25.563199999999998</v>
      </c>
      <c r="E176" s="4">
        <f>107.805864089576 * CHOOSE(CONTROL!$C$6, $C$13, 100%, $E$13) + CHOOSE(CONTROL!$C$25, 0, 0)</f>
        <v>107.805864089576</v>
      </c>
    </row>
    <row r="177" spans="1:5" ht="15">
      <c r="A177" s="13">
        <v>47239</v>
      </c>
      <c r="B177" s="4">
        <f>19.022 * CHOOSE(CONTROL!$C$6, $C$13, 100%, $E$13) + CHOOSE(CONTROL!$C$25, 0.0238, 0)</f>
        <v>19.0458</v>
      </c>
      <c r="C177" s="4">
        <f>18.7095 * CHOOSE(CONTROL!$C$6, $C$13, 100%, $E$13) + CHOOSE(CONTROL!$C$25, 0.0238, 0)</f>
        <v>18.7333</v>
      </c>
      <c r="D177" s="4">
        <f>25.2947 * CHOOSE(CONTROL!$C$6, $C$13, 100%, $E$13) + CHOOSE(CONTROL!$C$25, 0, 0)</f>
        <v>25.294699999999999</v>
      </c>
      <c r="E177" s="4">
        <f>110.387311086317 * CHOOSE(CONTROL!$C$6, $C$13, 100%, $E$13) + CHOOSE(CONTROL!$C$25, 0, 0)</f>
        <v>110.387311086317</v>
      </c>
    </row>
    <row r="178" spans="1:5" ht="15">
      <c r="A178" s="13">
        <v>47270</v>
      </c>
      <c r="B178" s="4">
        <f>19.0763 * CHOOSE(CONTROL!$C$6, $C$13, 100%, $E$13) + CHOOSE(CONTROL!$C$25, 0.0238, 0)</f>
        <v>19.100100000000001</v>
      </c>
      <c r="C178" s="4">
        <f>18.7638 * CHOOSE(CONTROL!$C$6, $C$13, 100%, $E$13) + CHOOSE(CONTROL!$C$25, 0.0238, 0)</f>
        <v>18.787600000000001</v>
      </c>
      <c r="D178" s="4">
        <f>25.5133 * CHOOSE(CONTROL!$C$6, $C$13, 100%, $E$13) + CHOOSE(CONTROL!$C$25, 0, 0)</f>
        <v>25.513300000000001</v>
      </c>
      <c r="E178" s="4">
        <f>110.736591578201 * CHOOSE(CONTROL!$C$6, $C$13, 100%, $E$13) + CHOOSE(CONTROL!$C$25, 0, 0)</f>
        <v>110.736591578201</v>
      </c>
    </row>
    <row r="179" spans="1:5" ht="15">
      <c r="A179" s="13">
        <v>47300</v>
      </c>
      <c r="B179" s="4">
        <f>19.0708 * CHOOSE(CONTROL!$C$6, $C$13, 100%, $E$13) + CHOOSE(CONTROL!$C$25, 0.0238, 0)</f>
        <v>19.0946</v>
      </c>
      <c r="C179" s="4">
        <f>18.7583 * CHOOSE(CONTROL!$C$6, $C$13, 100%, $E$13) + CHOOSE(CONTROL!$C$25, 0.0238, 0)</f>
        <v>18.7821</v>
      </c>
      <c r="D179" s="4">
        <f>25.9079 * CHOOSE(CONTROL!$C$6, $C$13, 100%, $E$13) + CHOOSE(CONTROL!$C$25, 0, 0)</f>
        <v>25.907900000000001</v>
      </c>
      <c r="E179" s="4">
        <f>110.701370015994 * CHOOSE(CONTROL!$C$6, $C$13, 100%, $E$13) + CHOOSE(CONTROL!$C$25, 0, 0)</f>
        <v>110.701370015994</v>
      </c>
    </row>
    <row r="180" spans="1:5" ht="15">
      <c r="A180" s="13">
        <v>47331</v>
      </c>
      <c r="B180" s="4">
        <f>19.4825 * CHOOSE(CONTROL!$C$6, $C$13, 100%, $E$13) + CHOOSE(CONTROL!$C$25, 0.0238, 0)</f>
        <v>19.506300000000003</v>
      </c>
      <c r="C180" s="4">
        <f>19.17 * CHOOSE(CONTROL!$C$6, $C$13, 100%, $E$13) + CHOOSE(CONTROL!$C$25, 0.0238, 0)</f>
        <v>19.193800000000003</v>
      </c>
      <c r="D180" s="4">
        <f>25.6473 * CHOOSE(CONTROL!$C$6, $C$13, 100%, $E$13) + CHOOSE(CONTROL!$C$25, 0, 0)</f>
        <v>25.647300000000001</v>
      </c>
      <c r="E180" s="4">
        <f>113.351792572057 * CHOOSE(CONTROL!$C$6, $C$13, 100%, $E$13) + CHOOSE(CONTROL!$C$25, 0, 0)</f>
        <v>113.35179257205699</v>
      </c>
    </row>
    <row r="181" spans="1:5" ht="15">
      <c r="A181" s="13">
        <v>47362</v>
      </c>
      <c r="B181" s="4">
        <f>18.7808 * CHOOSE(CONTROL!$C$6, $C$13, 100%, $E$13) + CHOOSE(CONTROL!$C$25, 0.0238, 0)</f>
        <v>18.804600000000001</v>
      </c>
      <c r="C181" s="4">
        <f>18.4683 * CHOOSE(CONTROL!$C$6, $C$13, 100%, $E$13) + CHOOSE(CONTROL!$C$25, 0.0238, 0)</f>
        <v>18.492100000000001</v>
      </c>
      <c r="D181" s="4">
        <f>25.5242 * CHOOSE(CONTROL!$C$6, $C$13, 100%, $E$13) + CHOOSE(CONTROL!$C$25, 0, 0)</f>
        <v>25.5242</v>
      </c>
      <c r="E181" s="4">
        <f>108.834627219034 * CHOOSE(CONTROL!$C$6, $C$13, 100%, $E$13) + CHOOSE(CONTROL!$C$25, 0, 0)</f>
        <v>108.834627219034</v>
      </c>
    </row>
    <row r="182" spans="1:5" ht="15">
      <c r="A182" s="13">
        <v>47392</v>
      </c>
      <c r="B182" s="4">
        <f>18.2191 * CHOOSE(CONTROL!$C$6, $C$13, 100%, $E$13) + CHOOSE(CONTROL!$C$25, 0.0003, 0)</f>
        <v>18.2194</v>
      </c>
      <c r="C182" s="4">
        <f>17.9066 * CHOOSE(CONTROL!$C$6, $C$13, 100%, $E$13) + CHOOSE(CONTROL!$C$25, 0.0003, 0)</f>
        <v>17.9069</v>
      </c>
      <c r="D182" s="4">
        <f>25.1946 * CHOOSE(CONTROL!$C$6, $C$13, 100%, $E$13) + CHOOSE(CONTROL!$C$25, 0, 0)</f>
        <v>25.194600000000001</v>
      </c>
      <c r="E182" s="4">
        <f>105.218546832468 * CHOOSE(CONTROL!$C$6, $C$13, 100%, $E$13) + CHOOSE(CONTROL!$C$25, 0, 0)</f>
        <v>105.21854683246799</v>
      </c>
    </row>
    <row r="183" spans="1:5" ht="15">
      <c r="A183" s="13">
        <v>47423</v>
      </c>
      <c r="B183" s="4">
        <f>17.8573 * CHOOSE(CONTROL!$C$6, $C$13, 100%, $E$13) + CHOOSE(CONTROL!$C$25, 0.0003, 0)</f>
        <v>17.857599999999998</v>
      </c>
      <c r="C183" s="4">
        <f>17.5448 * CHOOSE(CONTROL!$C$6, $C$13, 100%, $E$13) + CHOOSE(CONTROL!$C$25, 0.0003, 0)</f>
        <v>17.545099999999998</v>
      </c>
      <c r="D183" s="4">
        <f>25.0813 * CHOOSE(CONTROL!$C$6, $C$13, 100%, $E$13) + CHOOSE(CONTROL!$C$25, 0, 0)</f>
        <v>25.081299999999999</v>
      </c>
      <c r="E183" s="4">
        <f>102.889521031543 * CHOOSE(CONTROL!$C$6, $C$13, 100%, $E$13) + CHOOSE(CONTROL!$C$25, 0, 0)</f>
        <v>102.889521031543</v>
      </c>
    </row>
    <row r="184" spans="1:5" ht="15">
      <c r="A184" s="13">
        <v>47453</v>
      </c>
      <c r="B184" s="4">
        <f>17.607 * CHOOSE(CONTROL!$C$6, $C$13, 100%, $E$13) + CHOOSE(CONTROL!$C$25, 0.0003, 0)</f>
        <v>17.607299999999999</v>
      </c>
      <c r="C184" s="4">
        <f>17.2945 * CHOOSE(CONTROL!$C$6, $C$13, 100%, $E$13) + CHOOSE(CONTROL!$C$25, 0.0003, 0)</f>
        <v>17.294799999999999</v>
      </c>
      <c r="D184" s="4">
        <f>24.247 * CHOOSE(CONTROL!$C$6, $C$13, 100%, $E$13) + CHOOSE(CONTROL!$C$25, 0, 0)</f>
        <v>24.247</v>
      </c>
      <c r="E184" s="4">
        <f>101.278134560581 * CHOOSE(CONTROL!$C$6, $C$13, 100%, $E$13) + CHOOSE(CONTROL!$C$25, 0, 0)</f>
        <v>101.27813456058099</v>
      </c>
    </row>
    <row r="185" spans="1:5" ht="15">
      <c r="A185" s="13">
        <v>47484</v>
      </c>
      <c r="B185" s="4">
        <f>17.0925 * CHOOSE(CONTROL!$C$6, $C$13, 100%, $E$13) + CHOOSE(CONTROL!$C$25, 0.0003, 0)</f>
        <v>17.0928</v>
      </c>
      <c r="C185" s="4">
        <f>16.78 * CHOOSE(CONTROL!$C$6, $C$13, 100%, $E$13) + CHOOSE(CONTROL!$C$25, 0.0003, 0)</f>
        <v>16.7803</v>
      </c>
      <c r="D185" s="4">
        <f>23.3866 * CHOOSE(CONTROL!$C$6, $C$13, 100%, $E$13) + CHOOSE(CONTROL!$C$25, 0, 0)</f>
        <v>23.386600000000001</v>
      </c>
      <c r="E185" s="4">
        <f>97.9809740474973 * CHOOSE(CONTROL!$C$6, $C$13, 100%, $E$13) + CHOOSE(CONTROL!$C$25, 0, 0)</f>
        <v>97.980974047497298</v>
      </c>
    </row>
    <row r="186" spans="1:5" ht="15">
      <c r="A186" s="13">
        <v>47515</v>
      </c>
      <c r="B186" s="4">
        <f>17.4538 * CHOOSE(CONTROL!$C$6, $C$13, 100%, $E$13) + CHOOSE(CONTROL!$C$25, 0.0003, 0)</f>
        <v>17.4541</v>
      </c>
      <c r="C186" s="4">
        <f>17.1413 * CHOOSE(CONTROL!$C$6, $C$13, 100%, $E$13) + CHOOSE(CONTROL!$C$25, 0.0003, 0)</f>
        <v>17.1416</v>
      </c>
      <c r="D186" s="4">
        <f>24.1554 * CHOOSE(CONTROL!$C$6, $C$13, 100%, $E$13) + CHOOSE(CONTROL!$C$25, 0, 0)</f>
        <v>24.1554</v>
      </c>
      <c r="E186" s="4">
        <f>100.307428505531 * CHOOSE(CONTROL!$C$6, $C$13, 100%, $E$13) + CHOOSE(CONTROL!$C$25, 0, 0)</f>
        <v>100.30742850553101</v>
      </c>
    </row>
    <row r="187" spans="1:5" ht="15">
      <c r="A187" s="13">
        <v>47543</v>
      </c>
      <c r="B187" s="4">
        <f>18.4027 * CHOOSE(CONTROL!$C$6, $C$13, 100%, $E$13) + CHOOSE(CONTROL!$C$25, 0.0003, 0)</f>
        <v>18.402999999999999</v>
      </c>
      <c r="C187" s="4">
        <f>18.0902 * CHOOSE(CONTROL!$C$6, $C$13, 100%, $E$13) + CHOOSE(CONTROL!$C$25, 0.0003, 0)</f>
        <v>18.090499999999999</v>
      </c>
      <c r="D187" s="4">
        <f>25.3589 * CHOOSE(CONTROL!$C$6, $C$13, 100%, $E$13) + CHOOSE(CONTROL!$C$25, 0, 0)</f>
        <v>25.358899999999998</v>
      </c>
      <c r="E187" s="4">
        <f>106.416821547624 * CHOOSE(CONTROL!$C$6, $C$13, 100%, $E$13) + CHOOSE(CONTROL!$C$25, 0, 0)</f>
        <v>106.416821547624</v>
      </c>
    </row>
    <row r="188" spans="1:5" ht="15">
      <c r="A188" s="13">
        <v>47574</v>
      </c>
      <c r="B188" s="4">
        <f>19.0769 * CHOOSE(CONTROL!$C$6, $C$13, 100%, $E$13) + CHOOSE(CONTROL!$C$25, 0.0003, 0)</f>
        <v>19.077199999999998</v>
      </c>
      <c r="C188" s="4">
        <f>18.7644 * CHOOSE(CONTROL!$C$6, $C$13, 100%, $E$13) + CHOOSE(CONTROL!$C$25, 0.0003, 0)</f>
        <v>18.764699999999998</v>
      </c>
      <c r="D188" s="4">
        <f>26.0522 * CHOOSE(CONTROL!$C$6, $C$13, 100%, $E$13) + CHOOSE(CONTROL!$C$25, 0, 0)</f>
        <v>26.052199999999999</v>
      </c>
      <c r="E188" s="4">
        <f>110.757626722399 * CHOOSE(CONTROL!$C$6, $C$13, 100%, $E$13) + CHOOSE(CONTROL!$C$25, 0, 0)</f>
        <v>110.757626722399</v>
      </c>
    </row>
    <row r="189" spans="1:5" ht="15">
      <c r="A189" s="13">
        <v>47604</v>
      </c>
      <c r="B189" s="4">
        <f>19.4888 * CHOOSE(CONTROL!$C$6, $C$13, 100%, $E$13) + CHOOSE(CONTROL!$C$25, 0.0238, 0)</f>
        <v>19.512600000000003</v>
      </c>
      <c r="C189" s="4">
        <f>19.1763 * CHOOSE(CONTROL!$C$6, $C$13, 100%, $E$13) + CHOOSE(CONTROL!$C$25, 0.0238, 0)</f>
        <v>19.200100000000003</v>
      </c>
      <c r="D189" s="4">
        <f>25.7783 * CHOOSE(CONTROL!$C$6, $C$13, 100%, $E$13) + CHOOSE(CONTROL!$C$25, 0, 0)</f>
        <v>25.778300000000002</v>
      </c>
      <c r="E189" s="4">
        <f>113.409754649606 * CHOOSE(CONTROL!$C$6, $C$13, 100%, $E$13) + CHOOSE(CONTROL!$C$25, 0, 0)</f>
        <v>113.409754649606</v>
      </c>
    </row>
    <row r="190" spans="1:5" ht="15">
      <c r="A190" s="13">
        <v>47635</v>
      </c>
      <c r="B190" s="4">
        <f>19.5445 * CHOOSE(CONTROL!$C$6, $C$13, 100%, $E$13) + CHOOSE(CONTROL!$C$25, 0.0238, 0)</f>
        <v>19.568300000000001</v>
      </c>
      <c r="C190" s="4">
        <f>19.232 * CHOOSE(CONTROL!$C$6, $C$13, 100%, $E$13) + CHOOSE(CONTROL!$C$25, 0.0238, 0)</f>
        <v>19.255800000000001</v>
      </c>
      <c r="D190" s="4">
        <f>26.0014 * CHOOSE(CONTROL!$C$6, $C$13, 100%, $E$13) + CHOOSE(CONTROL!$C$25, 0, 0)</f>
        <v>26.0014</v>
      </c>
      <c r="E190" s="4">
        <f>113.768598564714 * CHOOSE(CONTROL!$C$6, $C$13, 100%, $E$13) + CHOOSE(CONTROL!$C$25, 0, 0)</f>
        <v>113.768598564714</v>
      </c>
    </row>
    <row r="191" spans="1:5" ht="15">
      <c r="A191" s="13">
        <v>47665</v>
      </c>
      <c r="B191" s="4">
        <f>19.5389 * CHOOSE(CONTROL!$C$6, $C$13, 100%, $E$13) + CHOOSE(CONTROL!$C$25, 0.0238, 0)</f>
        <v>19.562700000000003</v>
      </c>
      <c r="C191" s="4">
        <f>19.2264 * CHOOSE(CONTROL!$C$6, $C$13, 100%, $E$13) + CHOOSE(CONTROL!$C$25, 0.0238, 0)</f>
        <v>19.250200000000003</v>
      </c>
      <c r="D191" s="4">
        <f>26.4039 * CHOOSE(CONTROL!$C$6, $C$13, 100%, $E$13) + CHOOSE(CONTROL!$C$25, 0, 0)</f>
        <v>26.4039</v>
      </c>
      <c r="E191" s="4">
        <f>113.732412623695 * CHOOSE(CONTROL!$C$6, $C$13, 100%, $E$13) + CHOOSE(CONTROL!$C$25, 0, 0)</f>
        <v>113.732412623695</v>
      </c>
    </row>
    <row r="192" spans="1:5" ht="15">
      <c r="A192" s="13">
        <v>47696</v>
      </c>
      <c r="B192" s="4">
        <f>19.9618 * CHOOSE(CONTROL!$C$6, $C$13, 100%, $E$13) + CHOOSE(CONTROL!$C$25, 0.0238, 0)</f>
        <v>19.985600000000002</v>
      </c>
      <c r="C192" s="4">
        <f>19.6493 * CHOOSE(CONTROL!$C$6, $C$13, 100%, $E$13) + CHOOSE(CONTROL!$C$25, 0.0238, 0)</f>
        <v>19.673100000000002</v>
      </c>
      <c r="D192" s="4">
        <f>26.1381 * CHOOSE(CONTROL!$C$6, $C$13, 100%, $E$13) + CHOOSE(CONTROL!$C$25, 0, 0)</f>
        <v>26.138100000000001</v>
      </c>
      <c r="E192" s="4">
        <f>116.455404685398 * CHOOSE(CONTROL!$C$6, $C$13, 100%, $E$13) + CHOOSE(CONTROL!$C$25, 0, 0)</f>
        <v>116.45540468539799</v>
      </c>
    </row>
    <row r="193" spans="1:5" ht="15">
      <c r="A193" s="13">
        <v>47727</v>
      </c>
      <c r="B193" s="4">
        <f>19.241 * CHOOSE(CONTROL!$C$6, $C$13, 100%, $E$13) + CHOOSE(CONTROL!$C$25, 0.0238, 0)</f>
        <v>19.264800000000001</v>
      </c>
      <c r="C193" s="4">
        <f>18.9285 * CHOOSE(CONTROL!$C$6, $C$13, 100%, $E$13) + CHOOSE(CONTROL!$C$25, 0.0238, 0)</f>
        <v>18.952300000000001</v>
      </c>
      <c r="D193" s="4">
        <f>26.0125 * CHOOSE(CONTROL!$C$6, $C$13, 100%, $E$13) + CHOOSE(CONTROL!$C$25, 0, 0)</f>
        <v>26.012499999999999</v>
      </c>
      <c r="E193" s="4">
        <f>111.814557749672 * CHOOSE(CONTROL!$C$6, $C$13, 100%, $E$13) + CHOOSE(CONTROL!$C$25, 0, 0)</f>
        <v>111.81455774967201</v>
      </c>
    </row>
    <row r="194" spans="1:5" ht="15">
      <c r="A194" s="13">
        <v>47757</v>
      </c>
      <c r="B194" s="4">
        <f>18.664 * CHOOSE(CONTROL!$C$6, $C$13, 100%, $E$13) + CHOOSE(CONTROL!$C$25, 0.0003, 0)</f>
        <v>18.664300000000001</v>
      </c>
      <c r="C194" s="4">
        <f>18.3515 * CHOOSE(CONTROL!$C$6, $C$13, 100%, $E$13) + CHOOSE(CONTROL!$C$25, 0.0003, 0)</f>
        <v>18.351800000000001</v>
      </c>
      <c r="D194" s="4">
        <f>25.6761 * CHOOSE(CONTROL!$C$6, $C$13, 100%, $E$13) + CHOOSE(CONTROL!$C$25, 0, 0)</f>
        <v>25.676100000000002</v>
      </c>
      <c r="E194" s="4">
        <f>108.099467805022 * CHOOSE(CONTROL!$C$6, $C$13, 100%, $E$13) + CHOOSE(CONTROL!$C$25, 0, 0)</f>
        <v>108.099467805022</v>
      </c>
    </row>
    <row r="195" spans="1:5" ht="15">
      <c r="A195" s="13">
        <v>47788</v>
      </c>
      <c r="B195" s="4">
        <f>18.2924 * CHOOSE(CONTROL!$C$6, $C$13, 100%, $E$13) + CHOOSE(CONTROL!$C$25, 0.0003, 0)</f>
        <v>18.2927</v>
      </c>
      <c r="C195" s="4">
        <f>17.9799 * CHOOSE(CONTROL!$C$6, $C$13, 100%, $E$13) + CHOOSE(CONTROL!$C$25, 0.0003, 0)</f>
        <v>17.9802</v>
      </c>
      <c r="D195" s="4">
        <f>25.5605 * CHOOSE(CONTROL!$C$6, $C$13, 100%, $E$13) + CHOOSE(CONTROL!$C$25, 0, 0)</f>
        <v>25.560500000000001</v>
      </c>
      <c r="E195" s="4">
        <f>105.70667245512 * CHOOSE(CONTROL!$C$6, $C$13, 100%, $E$13) + CHOOSE(CONTROL!$C$25, 0, 0)</f>
        <v>105.70667245512</v>
      </c>
    </row>
    <row r="196" spans="1:5" ht="15">
      <c r="A196" s="13">
        <v>47818</v>
      </c>
      <c r="B196" s="4">
        <f>18.0353 * CHOOSE(CONTROL!$C$6, $C$13, 100%, $E$13) + CHOOSE(CONTROL!$C$25, 0.0003, 0)</f>
        <v>18.035599999999999</v>
      </c>
      <c r="C196" s="4">
        <f>17.7228 * CHOOSE(CONTROL!$C$6, $C$13, 100%, $E$13) + CHOOSE(CONTROL!$C$25, 0.0003, 0)</f>
        <v>17.723099999999999</v>
      </c>
      <c r="D196" s="4">
        <f>24.7092 * CHOOSE(CONTROL!$C$6, $C$13, 100%, $E$13) + CHOOSE(CONTROL!$C$25, 0, 0)</f>
        <v>24.709199999999999</v>
      </c>
      <c r="E196" s="4">
        <f>104.051165653487 * CHOOSE(CONTROL!$C$6, $C$13, 100%, $E$13) + CHOOSE(CONTROL!$C$25, 0, 0)</f>
        <v>104.051165653487</v>
      </c>
    </row>
    <row r="197" spans="1:5" ht="15">
      <c r="A197" s="13">
        <v>47849</v>
      </c>
      <c r="B197" s="4">
        <f>17.3952 * CHOOSE(CONTROL!$C$6, $C$13, 100%, $E$13) + CHOOSE(CONTROL!$C$25, 0.0003, 0)</f>
        <v>17.395499999999998</v>
      </c>
      <c r="C197" s="4">
        <f>17.0827 * CHOOSE(CONTROL!$C$6, $C$13, 100%, $E$13) + CHOOSE(CONTROL!$C$25, 0.0003, 0)</f>
        <v>17.082999999999998</v>
      </c>
      <c r="D197" s="4">
        <f>23.7226 * CHOOSE(CONTROL!$C$6, $C$13, 100%, $E$13) + CHOOSE(CONTROL!$C$25, 0, 0)</f>
        <v>23.7226</v>
      </c>
      <c r="E197" s="4">
        <f>99.9894183708979 * CHOOSE(CONTROL!$C$6, $C$13, 100%, $E$13) + CHOOSE(CONTROL!$C$25, 0, 0)</f>
        <v>99.989418370897894</v>
      </c>
    </row>
    <row r="198" spans="1:5" ht="15">
      <c r="A198" s="13">
        <v>47880</v>
      </c>
      <c r="B198" s="4">
        <f>17.7638 * CHOOSE(CONTROL!$C$6, $C$13, 100%, $E$13) + CHOOSE(CONTROL!$C$25, 0.0003, 0)</f>
        <v>17.764099999999999</v>
      </c>
      <c r="C198" s="4">
        <f>17.4513 * CHOOSE(CONTROL!$C$6, $C$13, 100%, $E$13) + CHOOSE(CONTROL!$C$25, 0.0003, 0)</f>
        <v>17.451599999999999</v>
      </c>
      <c r="D198" s="4">
        <f>24.5033 * CHOOSE(CONTROL!$C$6, $C$13, 100%, $E$13) + CHOOSE(CONTROL!$C$25, 0, 0)</f>
        <v>24.503299999999999</v>
      </c>
      <c r="E198" s="4">
        <f>102.363561212266 * CHOOSE(CONTROL!$C$6, $C$13, 100%, $E$13) + CHOOSE(CONTROL!$C$25, 0, 0)</f>
        <v>102.36356121226601</v>
      </c>
    </row>
    <row r="199" spans="1:5" ht="15">
      <c r="A199" s="13">
        <v>47908</v>
      </c>
      <c r="B199" s="4">
        <f>18.7315 * CHOOSE(CONTROL!$C$6, $C$13, 100%, $E$13) + CHOOSE(CONTROL!$C$25, 0.0003, 0)</f>
        <v>18.7318</v>
      </c>
      <c r="C199" s="4">
        <f>18.419 * CHOOSE(CONTROL!$C$6, $C$13, 100%, $E$13) + CHOOSE(CONTROL!$C$25, 0.0003, 0)</f>
        <v>18.4193</v>
      </c>
      <c r="D199" s="4">
        <f>25.7253 * CHOOSE(CONTROL!$C$6, $C$13, 100%, $E$13) + CHOOSE(CONTROL!$C$25, 0, 0)</f>
        <v>25.725300000000001</v>
      </c>
      <c r="E199" s="4">
        <f>108.598186483311 * CHOOSE(CONTROL!$C$6, $C$13, 100%, $E$13) + CHOOSE(CONTROL!$C$25, 0, 0)</f>
        <v>108.598186483311</v>
      </c>
    </row>
    <row r="200" spans="1:5" ht="15">
      <c r="A200" s="13">
        <v>47939</v>
      </c>
      <c r="B200" s="4">
        <f>19.4191 * CHOOSE(CONTROL!$C$6, $C$13, 100%, $E$13) + CHOOSE(CONTROL!$C$25, 0.0003, 0)</f>
        <v>19.4194</v>
      </c>
      <c r="C200" s="4">
        <f>19.1066 * CHOOSE(CONTROL!$C$6, $C$13, 100%, $E$13) + CHOOSE(CONTROL!$C$25, 0.0003, 0)</f>
        <v>19.1069</v>
      </c>
      <c r="D200" s="4">
        <f>26.4293 * CHOOSE(CONTROL!$C$6, $C$13, 100%, $E$13) + CHOOSE(CONTROL!$C$25, 0, 0)</f>
        <v>26.429300000000001</v>
      </c>
      <c r="E200" s="4">
        <f>113.027970825695 * CHOOSE(CONTROL!$C$6, $C$13, 100%, $E$13) + CHOOSE(CONTROL!$C$25, 0, 0)</f>
        <v>113.02797082569499</v>
      </c>
    </row>
    <row r="201" spans="1:5" ht="15">
      <c r="A201" s="13">
        <v>47969</v>
      </c>
      <c r="B201" s="4">
        <f>19.8392 * CHOOSE(CONTROL!$C$6, $C$13, 100%, $E$13) + CHOOSE(CONTROL!$C$25, 0.0238, 0)</f>
        <v>19.863000000000003</v>
      </c>
      <c r="C201" s="4">
        <f>19.5267 * CHOOSE(CONTROL!$C$6, $C$13, 100%, $E$13) + CHOOSE(CONTROL!$C$25, 0.0238, 0)</f>
        <v>19.550500000000003</v>
      </c>
      <c r="D201" s="4">
        <f>26.1511 * CHOOSE(CONTROL!$C$6, $C$13, 100%, $E$13) + CHOOSE(CONTROL!$C$25, 0, 0)</f>
        <v>26.1511</v>
      </c>
      <c r="E201" s="4">
        <f>115.734462891778 * CHOOSE(CONTROL!$C$6, $C$13, 100%, $E$13) + CHOOSE(CONTROL!$C$25, 0, 0)</f>
        <v>115.73446289177799</v>
      </c>
    </row>
    <row r="202" spans="1:5" ht="15">
      <c r="A202" s="13">
        <v>48000</v>
      </c>
      <c r="B202" s="4">
        <f>19.896 * CHOOSE(CONTROL!$C$6, $C$13, 100%, $E$13) + CHOOSE(CONTROL!$C$25, 0.0238, 0)</f>
        <v>19.919800000000002</v>
      </c>
      <c r="C202" s="4">
        <f>19.5835 * CHOOSE(CONTROL!$C$6, $C$13, 100%, $E$13) + CHOOSE(CONTROL!$C$25, 0.0238, 0)</f>
        <v>19.607300000000002</v>
      </c>
      <c r="D202" s="4">
        <f>26.3777 * CHOOSE(CONTROL!$C$6, $C$13, 100%, $E$13) + CHOOSE(CONTROL!$C$25, 0, 0)</f>
        <v>26.377700000000001</v>
      </c>
      <c r="E202" s="4">
        <f>116.100662500492 * CHOOSE(CONTROL!$C$6, $C$13, 100%, $E$13) + CHOOSE(CONTROL!$C$25, 0, 0)</f>
        <v>116.10066250049201</v>
      </c>
    </row>
    <row r="203" spans="1:5" ht="15">
      <c r="A203" s="13">
        <v>48030</v>
      </c>
      <c r="B203" s="4">
        <f>19.8903 * CHOOSE(CONTROL!$C$6, $C$13, 100%, $E$13) + CHOOSE(CONTROL!$C$25, 0.0238, 0)</f>
        <v>19.914100000000001</v>
      </c>
      <c r="C203" s="4">
        <f>19.5778 * CHOOSE(CONTROL!$C$6, $C$13, 100%, $E$13) + CHOOSE(CONTROL!$C$25, 0.0238, 0)</f>
        <v>19.601600000000001</v>
      </c>
      <c r="D203" s="4">
        <f>26.7865 * CHOOSE(CONTROL!$C$6, $C$13, 100%, $E$13) + CHOOSE(CONTROL!$C$25, 0, 0)</f>
        <v>26.7865</v>
      </c>
      <c r="E203" s="4">
        <f>116.063734808857 * CHOOSE(CONTROL!$C$6, $C$13, 100%, $E$13) + CHOOSE(CONTROL!$C$25, 0, 0)</f>
        <v>116.06373480885701</v>
      </c>
    </row>
    <row r="204" spans="1:5" ht="15">
      <c r="A204" s="13">
        <v>48061</v>
      </c>
      <c r="B204" s="4">
        <f>20.3216 * CHOOSE(CONTROL!$C$6, $C$13, 100%, $E$13) + CHOOSE(CONTROL!$C$25, 0.0238, 0)</f>
        <v>20.345400000000001</v>
      </c>
      <c r="C204" s="4">
        <f>20.0091 * CHOOSE(CONTROL!$C$6, $C$13, 100%, $E$13) + CHOOSE(CONTROL!$C$25, 0.0238, 0)</f>
        <v>20.032900000000001</v>
      </c>
      <c r="D204" s="4">
        <f>26.5165 * CHOOSE(CONTROL!$C$6, $C$13, 100%, $E$13) + CHOOSE(CONTROL!$C$25, 0, 0)</f>
        <v>26.516500000000001</v>
      </c>
      <c r="E204" s="4">
        <f>118.842543604392 * CHOOSE(CONTROL!$C$6, $C$13, 100%, $E$13) + CHOOSE(CONTROL!$C$25, 0, 0)</f>
        <v>118.84254360439201</v>
      </c>
    </row>
    <row r="205" spans="1:5" ht="15">
      <c r="A205" s="13">
        <v>48092</v>
      </c>
      <c r="B205" s="4">
        <f>19.5865 * CHOOSE(CONTROL!$C$6, $C$13, 100%, $E$13) + CHOOSE(CONTROL!$C$25, 0.0238, 0)</f>
        <v>19.610300000000002</v>
      </c>
      <c r="C205" s="4">
        <f>19.274 * CHOOSE(CONTROL!$C$6, $C$13, 100%, $E$13) + CHOOSE(CONTROL!$C$25, 0.0238, 0)</f>
        <v>19.297800000000002</v>
      </c>
      <c r="D205" s="4">
        <f>26.389 * CHOOSE(CONTROL!$C$6, $C$13, 100%, $E$13) + CHOOSE(CONTROL!$C$25, 0, 0)</f>
        <v>26.388999999999999</v>
      </c>
      <c r="E205" s="4">
        <f>114.106567152201 * CHOOSE(CONTROL!$C$6, $C$13, 100%, $E$13) + CHOOSE(CONTROL!$C$25, 0, 0)</f>
        <v>114.10656715220099</v>
      </c>
    </row>
    <row r="206" spans="1:5" ht="15">
      <c r="A206" s="13">
        <v>48122</v>
      </c>
      <c r="B206" s="4">
        <f>18.998 * CHOOSE(CONTROL!$C$6, $C$13, 100%, $E$13) + CHOOSE(CONTROL!$C$25, 0.0003, 0)</f>
        <v>18.9983</v>
      </c>
      <c r="C206" s="4">
        <f>18.6855 * CHOOSE(CONTROL!$C$6, $C$13, 100%, $E$13) + CHOOSE(CONTROL!$C$25, 0.0003, 0)</f>
        <v>18.6858</v>
      </c>
      <c r="D206" s="4">
        <f>26.0474 * CHOOSE(CONTROL!$C$6, $C$13, 100%, $E$13) + CHOOSE(CONTROL!$C$25, 0, 0)</f>
        <v>26.0474</v>
      </c>
      <c r="E206" s="4">
        <f>110.315324144339 * CHOOSE(CONTROL!$C$6, $C$13, 100%, $E$13) + CHOOSE(CONTROL!$C$25, 0, 0)</f>
        <v>110.315324144339</v>
      </c>
    </row>
    <row r="207" spans="1:5" ht="15">
      <c r="A207" s="13">
        <v>48153</v>
      </c>
      <c r="B207" s="4">
        <f>18.619 * CHOOSE(CONTROL!$C$6, $C$13, 100%, $E$13) + CHOOSE(CONTROL!$C$25, 0.0003, 0)</f>
        <v>18.619299999999999</v>
      </c>
      <c r="C207" s="4">
        <f>18.3065 * CHOOSE(CONTROL!$C$6, $C$13, 100%, $E$13) + CHOOSE(CONTROL!$C$25, 0.0003, 0)</f>
        <v>18.306799999999999</v>
      </c>
      <c r="D207" s="4">
        <f>25.93 * CHOOSE(CONTROL!$C$6, $C$13, 100%, $E$13) + CHOOSE(CONTROL!$C$25, 0, 0)</f>
        <v>25.93</v>
      </c>
      <c r="E207" s="4">
        <f>107.873480534974 * CHOOSE(CONTROL!$C$6, $C$13, 100%, $E$13) + CHOOSE(CONTROL!$C$25, 0, 0)</f>
        <v>107.87348053497399</v>
      </c>
    </row>
    <row r="208" spans="1:5" ht="15">
      <c r="A208" s="13">
        <v>48183</v>
      </c>
      <c r="B208" s="4">
        <f>18.3568 * CHOOSE(CONTROL!$C$6, $C$13, 100%, $E$13) + CHOOSE(CONTROL!$C$25, 0.0003, 0)</f>
        <v>18.357099999999999</v>
      </c>
      <c r="C208" s="4">
        <f>18.0443 * CHOOSE(CONTROL!$C$6, $C$13, 100%, $E$13) + CHOOSE(CONTROL!$C$25, 0.0003, 0)</f>
        <v>18.044599999999999</v>
      </c>
      <c r="D208" s="4">
        <f>25.0656 * CHOOSE(CONTROL!$C$6, $C$13, 100%, $E$13) + CHOOSE(CONTROL!$C$25, 0, 0)</f>
        <v>25.0656</v>
      </c>
      <c r="E208" s="4">
        <f>106.184038642672 * CHOOSE(CONTROL!$C$6, $C$13, 100%, $E$13) + CHOOSE(CONTROL!$C$25, 0, 0)</f>
        <v>106.18403864267199</v>
      </c>
    </row>
    <row r="209" spans="1:5" ht="15">
      <c r="A209" s="13">
        <v>48214</v>
      </c>
      <c r="B209" s="4">
        <f>17.7148 * CHOOSE(CONTROL!$C$6, $C$13, 100%, $E$13) + CHOOSE(CONTROL!$C$25, 0.0003, 0)</f>
        <v>17.7151</v>
      </c>
      <c r="C209" s="4">
        <f>17.4023 * CHOOSE(CONTROL!$C$6, $C$13, 100%, $E$13) + CHOOSE(CONTROL!$C$25, 0.0003, 0)</f>
        <v>17.4026</v>
      </c>
      <c r="D209" s="4">
        <f>24.0615 * CHOOSE(CONTROL!$C$6, $C$13, 100%, $E$13) + CHOOSE(CONTROL!$C$25, 0, 0)</f>
        <v>24.061499999999999</v>
      </c>
      <c r="E209" s="4">
        <f>102.00359274377 * CHOOSE(CONTROL!$C$6, $C$13, 100%, $E$13) + CHOOSE(CONTROL!$C$25, 0, 0)</f>
        <v>102.00359274377</v>
      </c>
    </row>
    <row r="210" spans="1:5" ht="15">
      <c r="A210" s="13">
        <v>48245</v>
      </c>
      <c r="B210" s="4">
        <f>18.0909 * CHOOSE(CONTROL!$C$6, $C$13, 100%, $E$13) + CHOOSE(CONTROL!$C$25, 0.0003, 0)</f>
        <v>18.091200000000001</v>
      </c>
      <c r="C210" s="4">
        <f>17.7784 * CHOOSE(CONTROL!$C$6, $C$13, 100%, $E$13) + CHOOSE(CONTROL!$C$25, 0.0003, 0)</f>
        <v>17.778700000000001</v>
      </c>
      <c r="D210" s="4">
        <f>24.8542 * CHOOSE(CONTROL!$C$6, $C$13, 100%, $E$13) + CHOOSE(CONTROL!$C$25, 0, 0)</f>
        <v>24.854199999999999</v>
      </c>
      <c r="E210" s="4">
        <f>104.425560022428 * CHOOSE(CONTROL!$C$6, $C$13, 100%, $E$13) + CHOOSE(CONTROL!$C$25, 0, 0)</f>
        <v>104.425560022428</v>
      </c>
    </row>
    <row r="211" spans="1:5" ht="15">
      <c r="A211" s="13">
        <v>48274</v>
      </c>
      <c r="B211" s="4">
        <f>19.0785 * CHOOSE(CONTROL!$C$6, $C$13, 100%, $E$13) + CHOOSE(CONTROL!$C$25, 0.0003, 0)</f>
        <v>19.078799999999998</v>
      </c>
      <c r="C211" s="4">
        <f>18.766 * CHOOSE(CONTROL!$C$6, $C$13, 100%, $E$13) + CHOOSE(CONTROL!$C$25, 0.0003, 0)</f>
        <v>18.766299999999998</v>
      </c>
      <c r="D211" s="4">
        <f>26.095 * CHOOSE(CONTROL!$C$6, $C$13, 100%, $E$13) + CHOOSE(CONTROL!$C$25, 0, 0)</f>
        <v>26.094999999999999</v>
      </c>
      <c r="E211" s="4">
        <f>110.785774807344 * CHOOSE(CONTROL!$C$6, $C$13, 100%, $E$13) + CHOOSE(CONTROL!$C$25, 0, 0)</f>
        <v>110.785774807344</v>
      </c>
    </row>
    <row r="212" spans="1:5" ht="15">
      <c r="A212" s="13">
        <v>48305</v>
      </c>
      <c r="B212" s="4">
        <f>19.7803 * CHOOSE(CONTROL!$C$6, $C$13, 100%, $E$13) + CHOOSE(CONTROL!$C$25, 0.0003, 0)</f>
        <v>19.7806</v>
      </c>
      <c r="C212" s="4">
        <f>19.4678 * CHOOSE(CONTROL!$C$6, $C$13, 100%, $E$13) + CHOOSE(CONTROL!$C$25, 0.0003, 0)</f>
        <v>19.4681</v>
      </c>
      <c r="D212" s="4">
        <f>26.8098 * CHOOSE(CONTROL!$C$6, $C$13, 100%, $E$13) + CHOOSE(CONTROL!$C$25, 0, 0)</f>
        <v>26.809799999999999</v>
      </c>
      <c r="E212" s="4">
        <f>115.304792173034 * CHOOSE(CONTROL!$C$6, $C$13, 100%, $E$13) + CHOOSE(CONTROL!$C$25, 0, 0)</f>
        <v>115.304792173034</v>
      </c>
    </row>
    <row r="213" spans="1:5" ht="15">
      <c r="A213" s="13">
        <v>48335</v>
      </c>
      <c r="B213" s="4">
        <f>20.209 * CHOOSE(CONTROL!$C$6, $C$13, 100%, $E$13) + CHOOSE(CONTROL!$C$25, 0.0238, 0)</f>
        <v>20.232800000000001</v>
      </c>
      <c r="C213" s="4">
        <f>19.8965 * CHOOSE(CONTROL!$C$6, $C$13, 100%, $E$13) + CHOOSE(CONTROL!$C$25, 0.0238, 0)</f>
        <v>19.920300000000001</v>
      </c>
      <c r="D213" s="4">
        <f>26.5273 * CHOOSE(CONTROL!$C$6, $C$13, 100%, $E$13) + CHOOSE(CONTROL!$C$25, 0, 0)</f>
        <v>26.5273</v>
      </c>
      <c r="E213" s="4">
        <f>118.065803477739 * CHOOSE(CONTROL!$C$6, $C$13, 100%, $E$13) + CHOOSE(CONTROL!$C$25, 0, 0)</f>
        <v>118.065803477739</v>
      </c>
    </row>
    <row r="214" spans="1:5" ht="15">
      <c r="A214" s="13">
        <v>48366</v>
      </c>
      <c r="B214" s="4">
        <f>20.267 * CHOOSE(CONTROL!$C$6, $C$13, 100%, $E$13) + CHOOSE(CONTROL!$C$25, 0.0238, 0)</f>
        <v>20.290800000000001</v>
      </c>
      <c r="C214" s="4">
        <f>19.9545 * CHOOSE(CONTROL!$C$6, $C$13, 100%, $E$13) + CHOOSE(CONTROL!$C$25, 0.0238, 0)</f>
        <v>19.978300000000001</v>
      </c>
      <c r="D214" s="4">
        <f>26.7573 * CHOOSE(CONTROL!$C$6, $C$13, 100%, $E$13) + CHOOSE(CONTROL!$C$25, 0, 0)</f>
        <v>26.757300000000001</v>
      </c>
      <c r="E214" s="4">
        <f>118.439379765698 * CHOOSE(CONTROL!$C$6, $C$13, 100%, $E$13) + CHOOSE(CONTROL!$C$25, 0, 0)</f>
        <v>118.43937976569801</v>
      </c>
    </row>
    <row r="215" spans="1:5" ht="15">
      <c r="A215" s="13">
        <v>48396</v>
      </c>
      <c r="B215" s="4">
        <f>20.2612 * CHOOSE(CONTROL!$C$6, $C$13, 100%, $E$13) + CHOOSE(CONTROL!$C$25, 0.0238, 0)</f>
        <v>20.285</v>
      </c>
      <c r="C215" s="4">
        <f>19.9487 * CHOOSE(CONTROL!$C$6, $C$13, 100%, $E$13) + CHOOSE(CONTROL!$C$25, 0.0238, 0)</f>
        <v>19.9725</v>
      </c>
      <c r="D215" s="4">
        <f>27.1724 * CHOOSE(CONTROL!$C$6, $C$13, 100%, $E$13) + CHOOSE(CONTROL!$C$25, 0, 0)</f>
        <v>27.1724</v>
      </c>
      <c r="E215" s="4">
        <f>118.401708207248 * CHOOSE(CONTROL!$C$6, $C$13, 100%, $E$13) + CHOOSE(CONTROL!$C$25, 0, 0)</f>
        <v>118.40170820724801</v>
      </c>
    </row>
    <row r="216" spans="1:5" ht="15">
      <c r="A216" s="13">
        <v>48427</v>
      </c>
      <c r="B216" s="4">
        <f>20.7014 * CHOOSE(CONTROL!$C$6, $C$13, 100%, $E$13) + CHOOSE(CONTROL!$C$25, 0.0238, 0)</f>
        <v>20.725200000000001</v>
      </c>
      <c r="C216" s="4">
        <f>20.3889 * CHOOSE(CONTROL!$C$6, $C$13, 100%, $E$13) + CHOOSE(CONTROL!$C$25, 0.0238, 0)</f>
        <v>20.412700000000001</v>
      </c>
      <c r="D216" s="4">
        <f>26.8983 * CHOOSE(CONTROL!$C$6, $C$13, 100%, $E$13) + CHOOSE(CONTROL!$C$25, 0, 0)</f>
        <v>26.898299999999999</v>
      </c>
      <c r="E216" s="4">
        <f>121.236492980585 * CHOOSE(CONTROL!$C$6, $C$13, 100%, $E$13) + CHOOSE(CONTROL!$C$25, 0, 0)</f>
        <v>121.236492980585</v>
      </c>
    </row>
    <row r="217" spans="1:5" ht="15">
      <c r="A217" s="13">
        <v>48458</v>
      </c>
      <c r="B217" s="4">
        <f>19.9511 * CHOOSE(CONTROL!$C$6, $C$13, 100%, $E$13) + CHOOSE(CONTROL!$C$25, 0.0238, 0)</f>
        <v>19.974900000000002</v>
      </c>
      <c r="C217" s="4">
        <f>19.6386 * CHOOSE(CONTROL!$C$6, $C$13, 100%, $E$13) + CHOOSE(CONTROL!$C$25, 0.0238, 0)</f>
        <v>19.662400000000002</v>
      </c>
      <c r="D217" s="4">
        <f>26.7688 * CHOOSE(CONTROL!$C$6, $C$13, 100%, $E$13) + CHOOSE(CONTROL!$C$25, 0, 0)</f>
        <v>26.768799999999999</v>
      </c>
      <c r="E217" s="4">
        <f>116.405115609417 * CHOOSE(CONTROL!$C$6, $C$13, 100%, $E$13) + CHOOSE(CONTROL!$C$25, 0, 0)</f>
        <v>116.405115609417</v>
      </c>
    </row>
    <row r="218" spans="1:5" ht="15">
      <c r="A218" s="13">
        <v>48488</v>
      </c>
      <c r="B218" s="4">
        <f>19.3506 * CHOOSE(CONTROL!$C$6, $C$13, 100%, $E$13) + CHOOSE(CONTROL!$C$25, 0.0003, 0)</f>
        <v>19.350899999999999</v>
      </c>
      <c r="C218" s="4">
        <f>19.0381 * CHOOSE(CONTROL!$C$6, $C$13, 100%, $E$13) + CHOOSE(CONTROL!$C$25, 0.0003, 0)</f>
        <v>19.038399999999999</v>
      </c>
      <c r="D218" s="4">
        <f>26.422 * CHOOSE(CONTROL!$C$6, $C$13, 100%, $E$13) + CHOOSE(CONTROL!$C$25, 0, 0)</f>
        <v>26.422000000000001</v>
      </c>
      <c r="E218" s="4">
        <f>112.537502275253 * CHOOSE(CONTROL!$C$6, $C$13, 100%, $E$13) + CHOOSE(CONTROL!$C$25, 0, 0)</f>
        <v>112.537502275253</v>
      </c>
    </row>
    <row r="219" spans="1:5" ht="15">
      <c r="A219" s="13">
        <v>48519</v>
      </c>
      <c r="B219" s="4">
        <f>18.9637 * CHOOSE(CONTROL!$C$6, $C$13, 100%, $E$13) + CHOOSE(CONTROL!$C$25, 0.0003, 0)</f>
        <v>18.963999999999999</v>
      </c>
      <c r="C219" s="4">
        <f>18.6512 * CHOOSE(CONTROL!$C$6, $C$13, 100%, $E$13) + CHOOSE(CONTROL!$C$25, 0.0003, 0)</f>
        <v>18.651499999999999</v>
      </c>
      <c r="D219" s="4">
        <f>26.3028 * CHOOSE(CONTROL!$C$6, $C$13, 100%, $E$13) + CHOOSE(CONTROL!$C$25, 0, 0)</f>
        <v>26.302800000000001</v>
      </c>
      <c r="E219" s="4">
        <f>110.04647047277 * CHOOSE(CONTROL!$C$6, $C$13, 100%, $E$13) + CHOOSE(CONTROL!$C$25, 0, 0)</f>
        <v>110.04647047277</v>
      </c>
    </row>
    <row r="220" spans="1:5" ht="15">
      <c r="A220" s="13">
        <v>48549</v>
      </c>
      <c r="B220" s="4">
        <f>18.6961 * CHOOSE(CONTROL!$C$6, $C$13, 100%, $E$13) + CHOOSE(CONTROL!$C$25, 0.0003, 0)</f>
        <v>18.696400000000001</v>
      </c>
      <c r="C220" s="4">
        <f>18.3836 * CHOOSE(CONTROL!$C$6, $C$13, 100%, $E$13) + CHOOSE(CONTROL!$C$25, 0.0003, 0)</f>
        <v>18.383900000000001</v>
      </c>
      <c r="D220" s="4">
        <f>25.4252 * CHOOSE(CONTROL!$C$6, $C$13, 100%, $E$13) + CHOOSE(CONTROL!$C$25, 0, 0)</f>
        <v>25.4252</v>
      </c>
      <c r="E220" s="4">
        <f>108.322996673698 * CHOOSE(CONTROL!$C$6, $C$13, 100%, $E$13) + CHOOSE(CONTROL!$C$25, 0, 0)</f>
        <v>108.322996673698</v>
      </c>
    </row>
    <row r="221" spans="1:5" ht="15">
      <c r="A221" s="13">
        <v>48580</v>
      </c>
      <c r="B221" s="4">
        <f>18.0305 * CHOOSE(CONTROL!$C$6, $C$13, 100%, $E$13) + CHOOSE(CONTROL!$C$25, 0.0003, 0)</f>
        <v>18.030799999999999</v>
      </c>
      <c r="C221" s="4">
        <f>17.718 * CHOOSE(CONTROL!$C$6, $C$13, 100%, $E$13) + CHOOSE(CONTROL!$C$25, 0.0003, 0)</f>
        <v>17.718299999999999</v>
      </c>
      <c r="D221" s="4">
        <f>24.3963 * CHOOSE(CONTROL!$C$6, $C$13, 100%, $E$13) + CHOOSE(CONTROL!$C$25, 0, 0)</f>
        <v>24.3963</v>
      </c>
      <c r="E221" s="4">
        <f>104.003717476111 * CHOOSE(CONTROL!$C$6, $C$13, 100%, $E$13) + CHOOSE(CONTROL!$C$25, 0, 0)</f>
        <v>104.00371747611101</v>
      </c>
    </row>
    <row r="222" spans="1:5" ht="15">
      <c r="A222" s="13">
        <v>48611</v>
      </c>
      <c r="B222" s="4">
        <f>18.4141 * CHOOSE(CONTROL!$C$6, $C$13, 100%, $E$13) + CHOOSE(CONTROL!$C$25, 0.0003, 0)</f>
        <v>18.414400000000001</v>
      </c>
      <c r="C222" s="4">
        <f>18.1016 * CHOOSE(CONTROL!$C$6, $C$13, 100%, $E$13) + CHOOSE(CONTROL!$C$25, 0.0003, 0)</f>
        <v>18.101900000000001</v>
      </c>
      <c r="D222" s="4">
        <f>25.2008 * CHOOSE(CONTROL!$C$6, $C$13, 100%, $E$13) + CHOOSE(CONTROL!$C$25, 0, 0)</f>
        <v>25.200800000000001</v>
      </c>
      <c r="E222" s="4">
        <f>106.473175598226 * CHOOSE(CONTROL!$C$6, $C$13, 100%, $E$13) + CHOOSE(CONTROL!$C$25, 0, 0)</f>
        <v>106.47317559822601</v>
      </c>
    </row>
    <row r="223" spans="1:5" ht="15">
      <c r="A223" s="13">
        <v>48639</v>
      </c>
      <c r="B223" s="4">
        <f>19.4215 * CHOOSE(CONTROL!$C$6, $C$13, 100%, $E$13) + CHOOSE(CONTROL!$C$25, 0.0003, 0)</f>
        <v>19.421800000000001</v>
      </c>
      <c r="C223" s="4">
        <f>19.109 * CHOOSE(CONTROL!$C$6, $C$13, 100%, $E$13) + CHOOSE(CONTROL!$C$25, 0.0003, 0)</f>
        <v>19.109300000000001</v>
      </c>
      <c r="D223" s="4">
        <f>26.4601 * CHOOSE(CONTROL!$C$6, $C$13, 100%, $E$13) + CHOOSE(CONTROL!$C$25, 0, 0)</f>
        <v>26.460100000000001</v>
      </c>
      <c r="E223" s="4">
        <f>112.958103861874 * CHOOSE(CONTROL!$C$6, $C$13, 100%, $E$13) + CHOOSE(CONTROL!$C$25, 0, 0)</f>
        <v>112.95810386187399</v>
      </c>
    </row>
    <row r="224" spans="1:5" ht="15">
      <c r="A224" s="13">
        <v>48670</v>
      </c>
      <c r="B224" s="4">
        <f>20.1372 * CHOOSE(CONTROL!$C$6, $C$13, 100%, $E$13) + CHOOSE(CONTROL!$C$25, 0.0003, 0)</f>
        <v>20.137499999999999</v>
      </c>
      <c r="C224" s="4">
        <f>19.8247 * CHOOSE(CONTROL!$C$6, $C$13, 100%, $E$13) + CHOOSE(CONTROL!$C$25, 0.0003, 0)</f>
        <v>19.824999999999999</v>
      </c>
      <c r="D224" s="4">
        <f>27.1855 * CHOOSE(CONTROL!$C$6, $C$13, 100%, $E$13) + CHOOSE(CONTROL!$C$25, 0, 0)</f>
        <v>27.185500000000001</v>
      </c>
      <c r="E224" s="4">
        <f>117.565731816229 * CHOOSE(CONTROL!$C$6, $C$13, 100%, $E$13) + CHOOSE(CONTROL!$C$25, 0, 0)</f>
        <v>117.565731816229</v>
      </c>
    </row>
    <row r="225" spans="1:5" ht="15">
      <c r="A225" s="13">
        <v>48700</v>
      </c>
      <c r="B225" s="4">
        <f>20.5745 * CHOOSE(CONTROL!$C$6, $C$13, 100%, $E$13) + CHOOSE(CONTROL!$C$25, 0.0238, 0)</f>
        <v>20.598300000000002</v>
      </c>
      <c r="C225" s="4">
        <f>20.262 * CHOOSE(CONTROL!$C$6, $C$13, 100%, $E$13) + CHOOSE(CONTROL!$C$25, 0.0238, 0)</f>
        <v>20.285800000000002</v>
      </c>
      <c r="D225" s="4">
        <f>26.8988 * CHOOSE(CONTROL!$C$6, $C$13, 100%, $E$13) + CHOOSE(CONTROL!$C$25, 0, 0)</f>
        <v>26.898800000000001</v>
      </c>
      <c r="E225" s="4">
        <f>120.38088206691 * CHOOSE(CONTROL!$C$6, $C$13, 100%, $E$13) + CHOOSE(CONTROL!$C$25, 0, 0)</f>
        <v>120.38088206691</v>
      </c>
    </row>
    <row r="226" spans="1:5" ht="15">
      <c r="A226" s="13">
        <v>48731</v>
      </c>
      <c r="B226" s="4">
        <f>20.6337 * CHOOSE(CONTROL!$C$6, $C$13, 100%, $E$13) + CHOOSE(CONTROL!$C$25, 0.0238, 0)</f>
        <v>20.657500000000002</v>
      </c>
      <c r="C226" s="4">
        <f>20.3212 * CHOOSE(CONTROL!$C$6, $C$13, 100%, $E$13) + CHOOSE(CONTROL!$C$25, 0.0238, 0)</f>
        <v>20.345000000000002</v>
      </c>
      <c r="D226" s="4">
        <f>27.1323 * CHOOSE(CONTROL!$C$6, $C$13, 100%, $E$13) + CHOOSE(CONTROL!$C$25, 0, 0)</f>
        <v>27.132300000000001</v>
      </c>
      <c r="E226" s="4">
        <f>120.76178357894 * CHOOSE(CONTROL!$C$6, $C$13, 100%, $E$13) + CHOOSE(CONTROL!$C$25, 0, 0)</f>
        <v>120.76178357894</v>
      </c>
    </row>
    <row r="227" spans="1:5" ht="15">
      <c r="A227" s="13">
        <v>48761</v>
      </c>
      <c r="B227" s="4">
        <f>20.6277 * CHOOSE(CONTROL!$C$6, $C$13, 100%, $E$13) + CHOOSE(CONTROL!$C$25, 0.0238, 0)</f>
        <v>20.651500000000002</v>
      </c>
      <c r="C227" s="4">
        <f>20.3152 * CHOOSE(CONTROL!$C$6, $C$13, 100%, $E$13) + CHOOSE(CONTROL!$C$25, 0.0238, 0)</f>
        <v>20.339000000000002</v>
      </c>
      <c r="D227" s="4">
        <f>27.5535 * CHOOSE(CONTROL!$C$6, $C$13, 100%, $E$13) + CHOOSE(CONTROL!$C$25, 0, 0)</f>
        <v>27.5535</v>
      </c>
      <c r="E227" s="4">
        <f>120.723373342433 * CHOOSE(CONTROL!$C$6, $C$13, 100%, $E$13) + CHOOSE(CONTROL!$C$25, 0, 0)</f>
        <v>120.72337334243301</v>
      </c>
    </row>
    <row r="228" spans="1:5" ht="15">
      <c r="A228" s="13">
        <v>48792</v>
      </c>
      <c r="B228" s="4">
        <f>21.0767 * CHOOSE(CONTROL!$C$6, $C$13, 100%, $E$13) + CHOOSE(CONTROL!$C$25, 0.0238, 0)</f>
        <v>21.1005</v>
      </c>
      <c r="C228" s="4">
        <f>20.7642 * CHOOSE(CONTROL!$C$6, $C$13, 100%, $E$13) + CHOOSE(CONTROL!$C$25, 0.0238, 0)</f>
        <v>20.788</v>
      </c>
      <c r="D228" s="4">
        <f>27.2753 * CHOOSE(CONTROL!$C$6, $C$13, 100%, $E$13) + CHOOSE(CONTROL!$C$25, 0, 0)</f>
        <v>27.275300000000001</v>
      </c>
      <c r="E228" s="4">
        <f>123.613743639607 * CHOOSE(CONTROL!$C$6, $C$13, 100%, $E$13) + CHOOSE(CONTROL!$C$25, 0, 0)</f>
        <v>123.61374363960699</v>
      </c>
    </row>
    <row r="229" spans="1:5" ht="15">
      <c r="A229" s="13">
        <v>48823</v>
      </c>
      <c r="B229" s="4">
        <f>20.3115 * CHOOSE(CONTROL!$C$6, $C$13, 100%, $E$13) + CHOOSE(CONTROL!$C$25, 0.0238, 0)</f>
        <v>20.3353</v>
      </c>
      <c r="C229" s="4">
        <f>19.999 * CHOOSE(CONTROL!$C$6, $C$13, 100%, $E$13) + CHOOSE(CONTROL!$C$25, 0.0238, 0)</f>
        <v>20.0228</v>
      </c>
      <c r="D229" s="4">
        <f>27.1439 * CHOOSE(CONTROL!$C$6, $C$13, 100%, $E$13) + CHOOSE(CONTROL!$C$25, 0, 0)</f>
        <v>27.143899999999999</v>
      </c>
      <c r="E229" s="4">
        <f>118.687630807546 * CHOOSE(CONTROL!$C$6, $C$13, 100%, $E$13) + CHOOSE(CONTROL!$C$25, 0, 0)</f>
        <v>118.687630807546</v>
      </c>
    </row>
    <row r="230" spans="1:5" ht="15">
      <c r="A230" s="13">
        <v>48853</v>
      </c>
      <c r="B230" s="4">
        <f>19.6989 * CHOOSE(CONTROL!$C$6, $C$13, 100%, $E$13) + CHOOSE(CONTROL!$C$25, 0.0003, 0)</f>
        <v>19.699199999999998</v>
      </c>
      <c r="C230" s="4">
        <f>19.3864 * CHOOSE(CONTROL!$C$6, $C$13, 100%, $E$13) + CHOOSE(CONTROL!$C$25, 0.0003, 0)</f>
        <v>19.386699999999998</v>
      </c>
      <c r="D230" s="4">
        <f>26.792 * CHOOSE(CONTROL!$C$6, $C$13, 100%, $E$13) + CHOOSE(CONTROL!$C$25, 0, 0)</f>
        <v>26.792000000000002</v>
      </c>
      <c r="E230" s="4">
        <f>114.744179859464 * CHOOSE(CONTROL!$C$6, $C$13, 100%, $E$13) + CHOOSE(CONTROL!$C$25, 0, 0)</f>
        <v>114.744179859464</v>
      </c>
    </row>
    <row r="231" spans="1:5" ht="15">
      <c r="A231" s="13">
        <v>48884</v>
      </c>
      <c r="B231" s="4">
        <f>19.3044 * CHOOSE(CONTROL!$C$6, $C$13, 100%, $E$13) + CHOOSE(CONTROL!$C$25, 0.0003, 0)</f>
        <v>19.3047</v>
      </c>
      <c r="C231" s="4">
        <f>18.9919 * CHOOSE(CONTROL!$C$6, $C$13, 100%, $E$13) + CHOOSE(CONTROL!$C$25, 0.0003, 0)</f>
        <v>18.9922</v>
      </c>
      <c r="D231" s="4">
        <f>26.671 * CHOOSE(CONTROL!$C$6, $C$13, 100%, $E$13) + CHOOSE(CONTROL!$C$25, 0, 0)</f>
        <v>26.670999999999999</v>
      </c>
      <c r="E231" s="4">
        <f>112.204302970419 * CHOOSE(CONTROL!$C$6, $C$13, 100%, $E$13) + CHOOSE(CONTROL!$C$25, 0, 0)</f>
        <v>112.20430297041899</v>
      </c>
    </row>
    <row r="232" spans="1:5" ht="15">
      <c r="A232" s="13">
        <v>48914</v>
      </c>
      <c r="B232" s="4">
        <f>19.0314 * CHOOSE(CONTROL!$C$6, $C$13, 100%, $E$13) + CHOOSE(CONTROL!$C$25, 0.0003, 0)</f>
        <v>19.031700000000001</v>
      </c>
      <c r="C232" s="4">
        <f>18.7189 * CHOOSE(CONTROL!$C$6, $C$13, 100%, $E$13) + CHOOSE(CONTROL!$C$25, 0.0003, 0)</f>
        <v>18.719200000000001</v>
      </c>
      <c r="D232" s="4">
        <f>25.7802 * CHOOSE(CONTROL!$C$6, $C$13, 100%, $E$13) + CHOOSE(CONTROL!$C$25, 0, 0)</f>
        <v>25.780200000000001</v>
      </c>
      <c r="E232" s="4">
        <f>110.44703465021 * CHOOSE(CONTROL!$C$6, $C$13, 100%, $E$13) + CHOOSE(CONTROL!$C$25, 0, 0)</f>
        <v>110.44703465021</v>
      </c>
    </row>
    <row r="233" spans="1:5" ht="15">
      <c r="A233" s="13">
        <v>48945</v>
      </c>
      <c r="B233" s="4">
        <f>18.3516 * CHOOSE(CONTROL!$C$6, $C$13, 100%, $E$13) + CHOOSE(CONTROL!$C$25, 0.0003, 0)</f>
        <v>18.351900000000001</v>
      </c>
      <c r="C233" s="4">
        <f>18.0391 * CHOOSE(CONTROL!$C$6, $C$13, 100%, $E$13) + CHOOSE(CONTROL!$C$25, 0.0003, 0)</f>
        <v>18.039400000000001</v>
      </c>
      <c r="D233" s="4">
        <f>24.737 * CHOOSE(CONTROL!$C$6, $C$13, 100%, $E$13) + CHOOSE(CONTROL!$C$25, 0, 0)</f>
        <v>24.736999999999998</v>
      </c>
      <c r="E233" s="4">
        <f>106.042650896879 * CHOOSE(CONTROL!$C$6, $C$13, 100%, $E$13) + CHOOSE(CONTROL!$C$25, 0, 0)</f>
        <v>106.042650896879</v>
      </c>
    </row>
    <row r="234" spans="1:5" ht="15">
      <c r="A234" s="13">
        <v>48976</v>
      </c>
      <c r="B234" s="4">
        <f>18.7429 * CHOOSE(CONTROL!$C$6, $C$13, 100%, $E$13) + CHOOSE(CONTROL!$C$25, 0.0003, 0)</f>
        <v>18.743199999999998</v>
      </c>
      <c r="C234" s="4">
        <f>18.4304 * CHOOSE(CONTROL!$C$6, $C$13, 100%, $E$13) + CHOOSE(CONTROL!$C$25, 0.0003, 0)</f>
        <v>18.430699999999998</v>
      </c>
      <c r="D234" s="4">
        <f>25.5535 * CHOOSE(CONTROL!$C$6, $C$13, 100%, $E$13) + CHOOSE(CONTROL!$C$25, 0, 0)</f>
        <v>25.5535</v>
      </c>
      <c r="E234" s="4">
        <f>108.560521333655 * CHOOSE(CONTROL!$C$6, $C$13, 100%, $E$13) + CHOOSE(CONTROL!$C$25, 0, 0)</f>
        <v>108.560521333655</v>
      </c>
    </row>
    <row r="235" spans="1:5" ht="15">
      <c r="A235" s="13">
        <v>49004</v>
      </c>
      <c r="B235" s="4">
        <f>19.7702 * CHOOSE(CONTROL!$C$6, $C$13, 100%, $E$13) + CHOOSE(CONTROL!$C$25, 0.0003, 0)</f>
        <v>19.770499999999998</v>
      </c>
      <c r="C235" s="4">
        <f>19.4577 * CHOOSE(CONTROL!$C$6, $C$13, 100%, $E$13) + CHOOSE(CONTROL!$C$25, 0.0003, 0)</f>
        <v>19.457999999999998</v>
      </c>
      <c r="D235" s="4">
        <f>26.8316 * CHOOSE(CONTROL!$C$6, $C$13, 100%, $E$13) + CHOOSE(CONTROL!$C$25, 0, 0)</f>
        <v>26.831600000000002</v>
      </c>
      <c r="E235" s="4">
        <f>115.17258290839 * CHOOSE(CONTROL!$C$6, $C$13, 100%, $E$13) + CHOOSE(CONTROL!$C$25, 0, 0)</f>
        <v>115.17258290839</v>
      </c>
    </row>
    <row r="236" spans="1:5" ht="15">
      <c r="A236" s="13">
        <v>49035</v>
      </c>
      <c r="B236" s="4">
        <f>20.5002 * CHOOSE(CONTROL!$C$6, $C$13, 100%, $E$13) + CHOOSE(CONTROL!$C$25, 0.0003, 0)</f>
        <v>20.500499999999999</v>
      </c>
      <c r="C236" s="4">
        <f>20.1877 * CHOOSE(CONTROL!$C$6, $C$13, 100%, $E$13) + CHOOSE(CONTROL!$C$25, 0.0003, 0)</f>
        <v>20.187999999999999</v>
      </c>
      <c r="D236" s="4">
        <f>27.5679 * CHOOSE(CONTROL!$C$6, $C$13, 100%, $E$13) + CHOOSE(CONTROL!$C$25, 0, 0)</f>
        <v>27.567900000000002</v>
      </c>
      <c r="E236" s="4">
        <f>119.870540774545 * CHOOSE(CONTROL!$C$6, $C$13, 100%, $E$13) + CHOOSE(CONTROL!$C$25, 0, 0)</f>
        <v>119.87054077454501</v>
      </c>
    </row>
    <row r="237" spans="1:5" ht="15">
      <c r="A237" s="13">
        <v>49065</v>
      </c>
      <c r="B237" s="4">
        <f>20.9462 * CHOOSE(CONTROL!$C$6, $C$13, 100%, $E$13) + CHOOSE(CONTROL!$C$25, 0.0238, 0)</f>
        <v>20.970000000000002</v>
      </c>
      <c r="C237" s="4">
        <f>20.6337 * CHOOSE(CONTROL!$C$6, $C$13, 100%, $E$13) + CHOOSE(CONTROL!$C$25, 0.0238, 0)</f>
        <v>20.657500000000002</v>
      </c>
      <c r="D237" s="4">
        <f>27.2769 * CHOOSE(CONTROL!$C$6, $C$13, 100%, $E$13) + CHOOSE(CONTROL!$C$25, 0, 0)</f>
        <v>27.276900000000001</v>
      </c>
      <c r="E237" s="4">
        <f>122.74088043643 * CHOOSE(CONTROL!$C$6, $C$13, 100%, $E$13) + CHOOSE(CONTROL!$C$25, 0, 0)</f>
        <v>122.74088043643</v>
      </c>
    </row>
    <row r="238" spans="1:5" ht="15">
      <c r="A238" s="13">
        <v>49096</v>
      </c>
      <c r="B238" s="4">
        <f>21.0065 * CHOOSE(CONTROL!$C$6, $C$13, 100%, $E$13) + CHOOSE(CONTROL!$C$25, 0.0238, 0)</f>
        <v>21.0303</v>
      </c>
      <c r="C238" s="4">
        <f>20.694 * CHOOSE(CONTROL!$C$6, $C$13, 100%, $E$13) + CHOOSE(CONTROL!$C$25, 0.0238, 0)</f>
        <v>20.7178</v>
      </c>
      <c r="D238" s="4">
        <f>27.5139 * CHOOSE(CONTROL!$C$6, $C$13, 100%, $E$13) + CHOOSE(CONTROL!$C$25, 0, 0)</f>
        <v>27.5139</v>
      </c>
      <c r="E238" s="4">
        <f>123.129249304838 * CHOOSE(CONTROL!$C$6, $C$13, 100%, $E$13) + CHOOSE(CONTROL!$C$25, 0, 0)</f>
        <v>123.129249304838</v>
      </c>
    </row>
    <row r="239" spans="1:5" ht="15">
      <c r="A239" s="13">
        <v>49126</v>
      </c>
      <c r="B239" s="4">
        <f>21.0004 * CHOOSE(CONTROL!$C$6, $C$13, 100%, $E$13) + CHOOSE(CONTROL!$C$25, 0.0238, 0)</f>
        <v>21.0242</v>
      </c>
      <c r="C239" s="4">
        <f>20.6879 * CHOOSE(CONTROL!$C$6, $C$13, 100%, $E$13) + CHOOSE(CONTROL!$C$25, 0.0238, 0)</f>
        <v>20.7117</v>
      </c>
      <c r="D239" s="4">
        <f>27.9414 * CHOOSE(CONTROL!$C$6, $C$13, 100%, $E$13) + CHOOSE(CONTROL!$C$25, 0, 0)</f>
        <v>27.941400000000002</v>
      </c>
      <c r="E239" s="4">
        <f>123.090086057603 * CHOOSE(CONTROL!$C$6, $C$13, 100%, $E$13) + CHOOSE(CONTROL!$C$25, 0, 0)</f>
        <v>123.090086057603</v>
      </c>
    </row>
    <row r="240" spans="1:5" ht="15">
      <c r="A240" s="13">
        <v>49157</v>
      </c>
      <c r="B240" s="4">
        <f>21.4583 * CHOOSE(CONTROL!$C$6, $C$13, 100%, $E$13) + CHOOSE(CONTROL!$C$25, 0.0238, 0)</f>
        <v>21.482100000000003</v>
      </c>
      <c r="C240" s="4">
        <f>21.1458 * CHOOSE(CONTROL!$C$6, $C$13, 100%, $E$13) + CHOOSE(CONTROL!$C$25, 0.0238, 0)</f>
        <v>21.169600000000003</v>
      </c>
      <c r="D240" s="4">
        <f>27.6591 * CHOOSE(CONTROL!$C$6, $C$13, 100%, $E$13) + CHOOSE(CONTROL!$C$25, 0, 0)</f>
        <v>27.659099999999999</v>
      </c>
      <c r="E240" s="4">
        <f>126.037120411989 * CHOOSE(CONTROL!$C$6, $C$13, 100%, $E$13) + CHOOSE(CONTROL!$C$25, 0, 0)</f>
        <v>126.03712041198899</v>
      </c>
    </row>
    <row r="241" spans="1:5" ht="15">
      <c r="A241" s="13">
        <v>49188</v>
      </c>
      <c r="B241" s="4">
        <f>20.6779 * CHOOSE(CONTROL!$C$6, $C$13, 100%, $E$13) + CHOOSE(CONTROL!$C$25, 0.0238, 0)</f>
        <v>20.701700000000002</v>
      </c>
      <c r="C241" s="4">
        <f>20.3654 * CHOOSE(CONTROL!$C$6, $C$13, 100%, $E$13) + CHOOSE(CONTROL!$C$25, 0.0238, 0)</f>
        <v>20.389200000000002</v>
      </c>
      <c r="D241" s="4">
        <f>27.5257 * CHOOSE(CONTROL!$C$6, $C$13, 100%, $E$13) + CHOOSE(CONTROL!$C$25, 0, 0)</f>
        <v>27.525700000000001</v>
      </c>
      <c r="E241" s="4">
        <f>121.014433954182 * CHOOSE(CONTROL!$C$6, $C$13, 100%, $E$13) + CHOOSE(CONTROL!$C$25, 0, 0)</f>
        <v>121.014433954182</v>
      </c>
    </row>
    <row r="242" spans="1:5" ht="15">
      <c r="A242" s="13">
        <v>49218</v>
      </c>
      <c r="B242" s="4">
        <f>20.0532 * CHOOSE(CONTROL!$C$6, $C$13, 100%, $E$13) + CHOOSE(CONTROL!$C$25, 0.0003, 0)</f>
        <v>20.0535</v>
      </c>
      <c r="C242" s="4">
        <f>19.7407 * CHOOSE(CONTROL!$C$6, $C$13, 100%, $E$13) + CHOOSE(CONTROL!$C$25, 0.0003, 0)</f>
        <v>19.741</v>
      </c>
      <c r="D242" s="4">
        <f>27.1685 * CHOOSE(CONTROL!$C$6, $C$13, 100%, $E$13) + CHOOSE(CONTROL!$C$25, 0, 0)</f>
        <v>27.168500000000002</v>
      </c>
      <c r="E242" s="4">
        <f>116.993673904787 * CHOOSE(CONTROL!$C$6, $C$13, 100%, $E$13) + CHOOSE(CONTROL!$C$25, 0, 0)</f>
        <v>116.993673904787</v>
      </c>
    </row>
    <row r="243" spans="1:5" ht="15">
      <c r="A243" s="13">
        <v>49249</v>
      </c>
      <c r="B243" s="4">
        <f>19.6508 * CHOOSE(CONTROL!$C$6, $C$13, 100%, $E$13) + CHOOSE(CONTROL!$C$25, 0.0003, 0)</f>
        <v>19.6511</v>
      </c>
      <c r="C243" s="4">
        <f>19.3383 * CHOOSE(CONTROL!$C$6, $C$13, 100%, $E$13) + CHOOSE(CONTROL!$C$25, 0.0003, 0)</f>
        <v>19.3386</v>
      </c>
      <c r="D243" s="4">
        <f>27.0457 * CHOOSE(CONTROL!$C$6, $C$13, 100%, $E$13) + CHOOSE(CONTROL!$C$25, 0, 0)</f>
        <v>27.0457</v>
      </c>
      <c r="E243" s="4">
        <f>114.404004181415 * CHOOSE(CONTROL!$C$6, $C$13, 100%, $E$13) + CHOOSE(CONTROL!$C$25, 0, 0)</f>
        <v>114.404004181415</v>
      </c>
    </row>
    <row r="244" spans="1:5" ht="15">
      <c r="A244" s="13">
        <v>49279</v>
      </c>
      <c r="B244" s="4">
        <f>19.3724 * CHOOSE(CONTROL!$C$6, $C$13, 100%, $E$13) + CHOOSE(CONTROL!$C$25, 0.0003, 0)</f>
        <v>19.372699999999998</v>
      </c>
      <c r="C244" s="4">
        <f>19.0599 * CHOOSE(CONTROL!$C$6, $C$13, 100%, $E$13) + CHOOSE(CONTROL!$C$25, 0.0003, 0)</f>
        <v>19.060199999999998</v>
      </c>
      <c r="D244" s="4">
        <f>26.1416 * CHOOSE(CONTROL!$C$6, $C$13, 100%, $E$13) + CHOOSE(CONTROL!$C$25, 0, 0)</f>
        <v>26.1416</v>
      </c>
      <c r="E244" s="4">
        <f>112.612285620443 * CHOOSE(CONTROL!$C$6, $C$13, 100%, $E$13) + CHOOSE(CONTROL!$C$25, 0, 0)</f>
        <v>112.612285620443</v>
      </c>
    </row>
    <row r="245" spans="1:5" ht="15">
      <c r="A245" s="13">
        <v>49310</v>
      </c>
      <c r="B245" s="4">
        <f>18.6798 * CHOOSE(CONTROL!$C$6, $C$13, 100%, $E$13) + CHOOSE(CONTROL!$C$25, 0.0003, 0)</f>
        <v>18.680099999999999</v>
      </c>
      <c r="C245" s="4">
        <f>18.3673 * CHOOSE(CONTROL!$C$6, $C$13, 100%, $E$13) + CHOOSE(CONTROL!$C$25, 0.0003, 0)</f>
        <v>18.367599999999999</v>
      </c>
      <c r="D245" s="4">
        <f>25.1106 * CHOOSE(CONTROL!$C$6, $C$13, 100%, $E$13) + CHOOSE(CONTROL!$C$25, 0, 0)</f>
        <v>25.110600000000002</v>
      </c>
      <c r="E245" s="4">
        <f>108.123602384743 * CHOOSE(CONTROL!$C$6, $C$13, 100%, $E$13) + CHOOSE(CONTROL!$C$25, 0, 0)</f>
        <v>108.12360238474299</v>
      </c>
    </row>
    <row r="246" spans="1:5" ht="15">
      <c r="A246" s="13">
        <v>49341</v>
      </c>
      <c r="B246" s="4">
        <f>19.0788 * CHOOSE(CONTROL!$C$6, $C$13, 100%, $E$13) + CHOOSE(CONTROL!$C$25, 0.0003, 0)</f>
        <v>19.0791</v>
      </c>
      <c r="C246" s="4">
        <f>18.7663 * CHOOSE(CONTROL!$C$6, $C$13, 100%, $E$13) + CHOOSE(CONTROL!$C$25, 0.0003, 0)</f>
        <v>18.7666</v>
      </c>
      <c r="D246" s="4">
        <f>25.9403 * CHOOSE(CONTROL!$C$6, $C$13, 100%, $E$13) + CHOOSE(CONTROL!$C$25, 0, 0)</f>
        <v>25.940300000000001</v>
      </c>
      <c r="E246" s="4">
        <f>110.690882810682 * CHOOSE(CONTROL!$C$6, $C$13, 100%, $E$13) + CHOOSE(CONTROL!$C$25, 0, 0)</f>
        <v>110.690882810682</v>
      </c>
    </row>
    <row r="247" spans="1:5" ht="15">
      <c r="A247" s="13">
        <v>49369</v>
      </c>
      <c r="B247" s="4">
        <f>20.1266 * CHOOSE(CONTROL!$C$6, $C$13, 100%, $E$13) + CHOOSE(CONTROL!$C$25, 0.0003, 0)</f>
        <v>20.126899999999999</v>
      </c>
      <c r="C247" s="4">
        <f>19.8141 * CHOOSE(CONTROL!$C$6, $C$13, 100%, $E$13) + CHOOSE(CONTROL!$C$25, 0.0003, 0)</f>
        <v>19.814399999999999</v>
      </c>
      <c r="D247" s="4">
        <f>27.2391 * CHOOSE(CONTROL!$C$6, $C$13, 100%, $E$13) + CHOOSE(CONTROL!$C$25, 0, 0)</f>
        <v>27.239100000000001</v>
      </c>
      <c r="E247" s="4">
        <f>117.432697642766 * CHOOSE(CONTROL!$C$6, $C$13, 100%, $E$13) + CHOOSE(CONTROL!$C$25, 0, 0)</f>
        <v>117.432697642766</v>
      </c>
    </row>
    <row r="248" spans="1:5" ht="15">
      <c r="A248" s="13">
        <v>49400</v>
      </c>
      <c r="B248" s="4">
        <f>20.8711 * CHOOSE(CONTROL!$C$6, $C$13, 100%, $E$13) + CHOOSE(CONTROL!$C$25, 0.0003, 0)</f>
        <v>20.871399999999998</v>
      </c>
      <c r="C248" s="4">
        <f>20.5586 * CHOOSE(CONTROL!$C$6, $C$13, 100%, $E$13) + CHOOSE(CONTROL!$C$25, 0.0003, 0)</f>
        <v>20.558899999999998</v>
      </c>
      <c r="D248" s="4">
        <f>27.9872 * CHOOSE(CONTROL!$C$6, $C$13, 100%, $E$13) + CHOOSE(CONTROL!$C$25, 0, 0)</f>
        <v>27.987200000000001</v>
      </c>
      <c r="E248" s="4">
        <f>122.222846927458 * CHOOSE(CONTROL!$C$6, $C$13, 100%, $E$13) + CHOOSE(CONTROL!$C$25, 0, 0)</f>
        <v>122.22284692745799</v>
      </c>
    </row>
    <row r="249" spans="1:5" ht="15">
      <c r="A249" s="13">
        <v>49430</v>
      </c>
      <c r="B249" s="4">
        <f>21.326 * CHOOSE(CONTROL!$C$6, $C$13, 100%, $E$13) + CHOOSE(CONTROL!$C$25, 0.0238, 0)</f>
        <v>21.349800000000002</v>
      </c>
      <c r="C249" s="4">
        <f>21.0135 * CHOOSE(CONTROL!$C$6, $C$13, 100%, $E$13) + CHOOSE(CONTROL!$C$25, 0.0238, 0)</f>
        <v>21.037300000000002</v>
      </c>
      <c r="D249" s="4">
        <f>27.6916 * CHOOSE(CONTROL!$C$6, $C$13, 100%, $E$13) + CHOOSE(CONTROL!$C$25, 0, 0)</f>
        <v>27.691600000000001</v>
      </c>
      <c r="E249" s="4">
        <f>125.149513336548 * CHOOSE(CONTROL!$C$6, $C$13, 100%, $E$13) + CHOOSE(CONTROL!$C$25, 0, 0)</f>
        <v>125.149513336548</v>
      </c>
    </row>
    <row r="250" spans="1:5" ht="15">
      <c r="A250" s="14">
        <v>49461</v>
      </c>
      <c r="B250" s="4">
        <f>21.3875 * CHOOSE(CONTROL!$C$6, $C$13, 100%, $E$13) + CHOOSE(CONTROL!$C$25, 0.0238, 0)</f>
        <v>21.411300000000001</v>
      </c>
      <c r="C250" s="4">
        <f>21.075 * CHOOSE(CONTROL!$C$6, $C$13, 100%, $E$13) + CHOOSE(CONTROL!$C$25, 0.0238, 0)</f>
        <v>21.098800000000001</v>
      </c>
      <c r="D250" s="4">
        <f>27.9324 * CHOOSE(CONTROL!$C$6, $C$13, 100%, $E$13) + CHOOSE(CONTROL!$C$25, 0, 0)</f>
        <v>27.932400000000001</v>
      </c>
      <c r="E250" s="4">
        <f>125.545503447614 * CHOOSE(CONTROL!$C$6, $C$13, 100%, $E$13) + CHOOSE(CONTROL!$C$25, 0, 0)</f>
        <v>125.545503447614</v>
      </c>
    </row>
    <row r="251" spans="1:5" ht="15">
      <c r="A251" s="14">
        <v>49491</v>
      </c>
      <c r="B251" s="4">
        <f>21.3813 * CHOOSE(CONTROL!$C$6, $C$13, 100%, $E$13) + CHOOSE(CONTROL!$C$25, 0.0238, 0)</f>
        <v>21.405100000000001</v>
      </c>
      <c r="C251" s="4">
        <f>21.0688 * CHOOSE(CONTROL!$C$6, $C$13, 100%, $E$13) + CHOOSE(CONTROL!$C$25, 0.0238, 0)</f>
        <v>21.092600000000001</v>
      </c>
      <c r="D251" s="4">
        <f>28.3668 * CHOOSE(CONTROL!$C$6, $C$13, 100%, $E$13) + CHOOSE(CONTROL!$C$25, 0, 0)</f>
        <v>28.366800000000001</v>
      </c>
      <c r="E251" s="4">
        <f>125.505571671708 * CHOOSE(CONTROL!$C$6, $C$13, 100%, $E$13) + CHOOSE(CONTROL!$C$25, 0, 0)</f>
        <v>125.505571671708</v>
      </c>
    </row>
    <row r="252" spans="1:5" ht="15">
      <c r="A252" s="14">
        <v>49522</v>
      </c>
      <c r="B252" s="4">
        <f>21.8484 * CHOOSE(CONTROL!$C$6, $C$13, 100%, $E$13) + CHOOSE(CONTROL!$C$25, 0.0238, 0)</f>
        <v>21.872200000000003</v>
      </c>
      <c r="C252" s="4">
        <f>21.5359 * CHOOSE(CONTROL!$C$6, $C$13, 100%, $E$13) + CHOOSE(CONTROL!$C$25, 0.0238, 0)</f>
        <v>21.559700000000003</v>
      </c>
      <c r="D252" s="4">
        <f>28.0799 * CHOOSE(CONTROL!$C$6, $C$13, 100%, $E$13) + CHOOSE(CONTROL!$C$25, 0, 0)</f>
        <v>28.079899999999999</v>
      </c>
      <c r="E252" s="4">
        <f>128.510437808614 * CHOOSE(CONTROL!$C$6, $C$13, 100%, $E$13) + CHOOSE(CONTROL!$C$25, 0, 0)</f>
        <v>128.510437808614</v>
      </c>
    </row>
    <row r="253" spans="1:5" ht="15">
      <c r="A253" s="14">
        <v>49553</v>
      </c>
      <c r="B253" s="4">
        <f>21.0524 * CHOOSE(CONTROL!$C$6, $C$13, 100%, $E$13) + CHOOSE(CONTROL!$C$25, 0.0238, 0)</f>
        <v>21.0762</v>
      </c>
      <c r="C253" s="4">
        <f>20.7399 * CHOOSE(CONTROL!$C$6, $C$13, 100%, $E$13) + CHOOSE(CONTROL!$C$25, 0.0238, 0)</f>
        <v>20.7637</v>
      </c>
      <c r="D253" s="4">
        <f>27.9443 * CHOOSE(CONTROL!$C$6, $C$13, 100%, $E$13) + CHOOSE(CONTROL!$C$25, 0, 0)</f>
        <v>27.944299999999998</v>
      </c>
      <c r="E253" s="4">
        <f>123.389187548704 * CHOOSE(CONTROL!$C$6, $C$13, 100%, $E$13) + CHOOSE(CONTROL!$C$25, 0, 0)</f>
        <v>123.389187548704</v>
      </c>
    </row>
    <row r="254" spans="1:5" ht="15">
      <c r="A254" s="14">
        <v>49583</v>
      </c>
      <c r="B254" s="4">
        <f>20.4152 * CHOOSE(CONTROL!$C$6, $C$13, 100%, $E$13) + CHOOSE(CONTROL!$C$25, 0.0003, 0)</f>
        <v>20.415499999999998</v>
      </c>
      <c r="C254" s="4">
        <f>20.1027 * CHOOSE(CONTROL!$C$6, $C$13, 100%, $E$13) + CHOOSE(CONTROL!$C$25, 0.0003, 0)</f>
        <v>20.102999999999998</v>
      </c>
      <c r="D254" s="4">
        <f>27.5814 * CHOOSE(CONTROL!$C$6, $C$13, 100%, $E$13) + CHOOSE(CONTROL!$C$25, 0, 0)</f>
        <v>27.581399999999999</v>
      </c>
      <c r="E254" s="4">
        <f>119.289525222383 * CHOOSE(CONTROL!$C$6, $C$13, 100%, $E$13) + CHOOSE(CONTROL!$C$25, 0, 0)</f>
        <v>119.28952522238301</v>
      </c>
    </row>
    <row r="255" spans="1:5" ht="15">
      <c r="A255" s="14">
        <v>49614</v>
      </c>
      <c r="B255" s="4">
        <f>20.0048 * CHOOSE(CONTROL!$C$6, $C$13, 100%, $E$13) + CHOOSE(CONTROL!$C$25, 0.0003, 0)</f>
        <v>20.005099999999999</v>
      </c>
      <c r="C255" s="4">
        <f>19.6923 * CHOOSE(CONTROL!$C$6, $C$13, 100%, $E$13) + CHOOSE(CONTROL!$C$25, 0.0003, 0)</f>
        <v>19.692599999999999</v>
      </c>
      <c r="D255" s="4">
        <f>27.4566 * CHOOSE(CONTROL!$C$6, $C$13, 100%, $E$13) + CHOOSE(CONTROL!$C$25, 0, 0)</f>
        <v>27.456600000000002</v>
      </c>
      <c r="E255" s="4">
        <f>116.649036540616 * CHOOSE(CONTROL!$C$6, $C$13, 100%, $E$13) + CHOOSE(CONTROL!$C$25, 0, 0)</f>
        <v>116.649036540616</v>
      </c>
    </row>
    <row r="256" spans="1:5" ht="15">
      <c r="A256" s="14">
        <v>49644</v>
      </c>
      <c r="B256" s="4">
        <f>19.7209 * CHOOSE(CONTROL!$C$6, $C$13, 100%, $E$13) + CHOOSE(CONTROL!$C$25, 0.0003, 0)</f>
        <v>19.7212</v>
      </c>
      <c r="C256" s="4">
        <f>19.4084 * CHOOSE(CONTROL!$C$6, $C$13, 100%, $E$13) + CHOOSE(CONTROL!$C$25, 0.0003, 0)</f>
        <v>19.4087</v>
      </c>
      <c r="D256" s="4">
        <f>26.538 * CHOOSE(CONTROL!$C$6, $C$13, 100%, $E$13) + CHOOSE(CONTROL!$C$25, 0, 0)</f>
        <v>26.538</v>
      </c>
      <c r="E256" s="4">
        <f>114.822157792929 * CHOOSE(CONTROL!$C$6, $C$13, 100%, $E$13) + CHOOSE(CONTROL!$C$25, 0, 0)</f>
        <v>114.822157792929</v>
      </c>
    </row>
    <row r="257" spans="1:5" ht="15">
      <c r="A257" s="14">
        <v>49675</v>
      </c>
      <c r="B257" s="4">
        <f>19.2596 * CHOOSE(CONTROL!$C$6, $C$13, 100%, $E$13) + CHOOSE(CONTROL!$C$25, 0.0003, 0)</f>
        <v>19.259899999999998</v>
      </c>
      <c r="C257" s="4">
        <f>18.9471 * CHOOSE(CONTROL!$C$6, $C$13, 100%, $E$13) + CHOOSE(CONTROL!$C$25, 0.0003, 0)</f>
        <v>18.947399999999998</v>
      </c>
      <c r="D257" s="4">
        <f>25.6936 * CHOOSE(CONTROL!$C$6, $C$13, 100%, $E$13) + CHOOSE(CONTROL!$C$25, 0, 0)</f>
        <v>25.6936</v>
      </c>
      <c r="E257" s="4">
        <f>111.529495859862 * CHOOSE(CONTROL!$C$6, $C$13, 100%, $E$13) + CHOOSE(CONTROL!$C$25, 0, 0)</f>
        <v>111.529495859862</v>
      </c>
    </row>
    <row r="258" spans="1:5" ht="15">
      <c r="A258" s="14">
        <v>49706</v>
      </c>
      <c r="B258" s="4">
        <f>19.6723 * CHOOSE(CONTROL!$C$6, $C$13, 100%, $E$13) + CHOOSE(CONTROL!$C$25, 0.0003, 0)</f>
        <v>19.672599999999999</v>
      </c>
      <c r="C258" s="4">
        <f>19.3598 * CHOOSE(CONTROL!$C$6, $C$13, 100%, $E$13) + CHOOSE(CONTROL!$C$25, 0.0003, 0)</f>
        <v>19.360099999999999</v>
      </c>
      <c r="D258" s="4">
        <f>26.5439 * CHOOSE(CONTROL!$C$6, $C$13, 100%, $E$13) + CHOOSE(CONTROL!$C$25, 0, 0)</f>
        <v>26.543900000000001</v>
      </c>
      <c r="E258" s="4">
        <f>114.177645619219 * CHOOSE(CONTROL!$C$6, $C$13, 100%, $E$13) + CHOOSE(CONTROL!$C$25, 0, 0)</f>
        <v>114.17764561921901</v>
      </c>
    </row>
    <row r="259" spans="1:5" ht="15">
      <c r="A259" s="14">
        <v>49735</v>
      </c>
      <c r="B259" s="4">
        <f>20.7563 * CHOOSE(CONTROL!$C$6, $C$13, 100%, $E$13) + CHOOSE(CONTROL!$C$25, 0.0003, 0)</f>
        <v>20.756599999999999</v>
      </c>
      <c r="C259" s="4">
        <f>20.4438 * CHOOSE(CONTROL!$C$6, $C$13, 100%, $E$13) + CHOOSE(CONTROL!$C$25, 0.0003, 0)</f>
        <v>20.444099999999999</v>
      </c>
      <c r="D259" s="4">
        <f>27.8749 * CHOOSE(CONTROL!$C$6, $C$13, 100%, $E$13) + CHOOSE(CONTROL!$C$25, 0, 0)</f>
        <v>27.8749</v>
      </c>
      <c r="E259" s="4">
        <f>121.131827618513 * CHOOSE(CONTROL!$C$6, $C$13, 100%, $E$13) + CHOOSE(CONTROL!$C$25, 0, 0)</f>
        <v>121.131827618513</v>
      </c>
    </row>
    <row r="260" spans="1:5" ht="15">
      <c r="A260" s="14">
        <v>49766</v>
      </c>
      <c r="B260" s="4">
        <f>21.5265 * CHOOSE(CONTROL!$C$6, $C$13, 100%, $E$13) + CHOOSE(CONTROL!$C$25, 0.0003, 0)</f>
        <v>21.526799999999998</v>
      </c>
      <c r="C260" s="4">
        <f>21.214 * CHOOSE(CONTROL!$C$6, $C$13, 100%, $E$13) + CHOOSE(CONTROL!$C$25, 0.0003, 0)</f>
        <v>21.214299999999998</v>
      </c>
      <c r="D260" s="4">
        <f>28.6416 * CHOOSE(CONTROL!$C$6, $C$13, 100%, $E$13) + CHOOSE(CONTROL!$C$25, 0, 0)</f>
        <v>28.6416</v>
      </c>
      <c r="E260" s="4">
        <f>126.072866605673 * CHOOSE(CONTROL!$C$6, $C$13, 100%, $E$13) + CHOOSE(CONTROL!$C$25, 0, 0)</f>
        <v>126.072866605673</v>
      </c>
    </row>
    <row r="261" spans="1:5" ht="15">
      <c r="A261" s="14">
        <v>49796</v>
      </c>
      <c r="B261" s="4">
        <f>21.9971 * CHOOSE(CONTROL!$C$6, $C$13, 100%, $E$13) + CHOOSE(CONTROL!$C$25, 0.0238, 0)</f>
        <v>22.020900000000001</v>
      </c>
      <c r="C261" s="4">
        <f>21.6846 * CHOOSE(CONTROL!$C$6, $C$13, 100%, $E$13) + CHOOSE(CONTROL!$C$25, 0.0238, 0)</f>
        <v>21.708400000000001</v>
      </c>
      <c r="D261" s="4">
        <f>28.3386 * CHOOSE(CONTROL!$C$6, $C$13, 100%, $E$13) + CHOOSE(CONTROL!$C$25, 0, 0)</f>
        <v>28.3386</v>
      </c>
      <c r="E261" s="4">
        <f>129.09172300665 * CHOOSE(CONTROL!$C$6, $C$13, 100%, $E$13) + CHOOSE(CONTROL!$C$25, 0, 0)</f>
        <v>129.09172300665</v>
      </c>
    </row>
    <row r="262" spans="1:5" ht="15">
      <c r="A262" s="14">
        <v>49827</v>
      </c>
      <c r="B262" s="4">
        <f>22.0607 * CHOOSE(CONTROL!$C$6, $C$13, 100%, $E$13) + CHOOSE(CONTROL!$C$25, 0.0238, 0)</f>
        <v>22.084500000000002</v>
      </c>
      <c r="C262" s="4">
        <f>21.7482 * CHOOSE(CONTROL!$C$6, $C$13, 100%, $E$13) + CHOOSE(CONTROL!$C$25, 0.0238, 0)</f>
        <v>21.772000000000002</v>
      </c>
      <c r="D262" s="4">
        <f>28.5853 * CHOOSE(CONTROL!$C$6, $C$13, 100%, $E$13) + CHOOSE(CONTROL!$C$25, 0, 0)</f>
        <v>28.5853</v>
      </c>
      <c r="E262" s="4">
        <f>129.500186806213 * CHOOSE(CONTROL!$C$6, $C$13, 100%, $E$13) + CHOOSE(CONTROL!$C$25, 0, 0)</f>
        <v>129.50018680621301</v>
      </c>
    </row>
    <row r="263" spans="1:5" ht="15">
      <c r="A263" s="14">
        <v>49857</v>
      </c>
      <c r="B263" s="4">
        <f>22.0543 * CHOOSE(CONTROL!$C$6, $C$13, 100%, $E$13) + CHOOSE(CONTROL!$C$25, 0.0238, 0)</f>
        <v>22.078100000000003</v>
      </c>
      <c r="C263" s="4">
        <f>21.7418 * CHOOSE(CONTROL!$C$6, $C$13, 100%, $E$13) + CHOOSE(CONTROL!$C$25, 0.0238, 0)</f>
        <v>21.765600000000003</v>
      </c>
      <c r="D263" s="4">
        <f>29.0305 * CHOOSE(CONTROL!$C$6, $C$13, 100%, $E$13) + CHOOSE(CONTROL!$C$25, 0, 0)</f>
        <v>29.0305</v>
      </c>
      <c r="E263" s="4">
        <f>129.458997179367 * CHOOSE(CONTROL!$C$6, $C$13, 100%, $E$13) + CHOOSE(CONTROL!$C$25, 0, 0)</f>
        <v>129.458997179367</v>
      </c>
    </row>
    <row r="264" spans="1:5" ht="15">
      <c r="A264" s="14">
        <v>49888</v>
      </c>
      <c r="B264" s="4">
        <f>22.5374 * CHOOSE(CONTROL!$C$6, $C$13, 100%, $E$13) + CHOOSE(CONTROL!$C$25, 0.0238, 0)</f>
        <v>22.561200000000003</v>
      </c>
      <c r="C264" s="4">
        <f>22.2249 * CHOOSE(CONTROL!$C$6, $C$13, 100%, $E$13) + CHOOSE(CONTROL!$C$25, 0.0238, 0)</f>
        <v>22.248700000000003</v>
      </c>
      <c r="D264" s="4">
        <f>28.7365 * CHOOSE(CONTROL!$C$6, $C$13, 100%, $E$13) + CHOOSE(CONTROL!$C$25, 0, 0)</f>
        <v>28.736499999999999</v>
      </c>
      <c r="E264" s="4">
        <f>132.558516599585 * CHOOSE(CONTROL!$C$6, $C$13, 100%, $E$13) + CHOOSE(CONTROL!$C$25, 0, 0)</f>
        <v>132.558516599585</v>
      </c>
    </row>
    <row r="265" spans="1:5" ht="15">
      <c r="A265" s="14">
        <v>49919</v>
      </c>
      <c r="B265" s="4">
        <f>21.714 * CHOOSE(CONTROL!$C$6, $C$13, 100%, $E$13) + CHOOSE(CONTROL!$C$25, 0.0238, 0)</f>
        <v>21.7378</v>
      </c>
      <c r="C265" s="4">
        <f>21.4015 * CHOOSE(CONTROL!$C$6, $C$13, 100%, $E$13) + CHOOSE(CONTROL!$C$25, 0.0238, 0)</f>
        <v>21.4253</v>
      </c>
      <c r="D265" s="4">
        <f>28.5976 * CHOOSE(CONTROL!$C$6, $C$13, 100%, $E$13) + CHOOSE(CONTROL!$C$25, 0, 0)</f>
        <v>28.5976</v>
      </c>
      <c r="E265" s="4">
        <f>127.275946956488 * CHOOSE(CONTROL!$C$6, $C$13, 100%, $E$13) + CHOOSE(CONTROL!$C$25, 0, 0)</f>
        <v>127.275946956488</v>
      </c>
    </row>
    <row r="266" spans="1:5" ht="15">
      <c r="A266" s="14">
        <v>49949</v>
      </c>
      <c r="B266" s="4">
        <f>21.0549 * CHOOSE(CONTROL!$C$6, $C$13, 100%, $E$13) + CHOOSE(CONTROL!$C$25, 0.0003, 0)</f>
        <v>21.055199999999999</v>
      </c>
      <c r="C266" s="4">
        <f>20.7424 * CHOOSE(CONTROL!$C$6, $C$13, 100%, $E$13) + CHOOSE(CONTROL!$C$25, 0.0003, 0)</f>
        <v>20.742699999999999</v>
      </c>
      <c r="D266" s="4">
        <f>28.2257 * CHOOSE(CONTROL!$C$6, $C$13, 100%, $E$13) + CHOOSE(CONTROL!$C$25, 0, 0)</f>
        <v>28.2257</v>
      </c>
      <c r="E266" s="4">
        <f>123.047145266888 * CHOOSE(CONTROL!$C$6, $C$13, 100%, $E$13) + CHOOSE(CONTROL!$C$25, 0, 0)</f>
        <v>123.04714526688799</v>
      </c>
    </row>
    <row r="267" spans="1:5" ht="15">
      <c r="A267" s="14">
        <v>49980</v>
      </c>
      <c r="B267" s="4">
        <f>20.6303 * CHOOSE(CONTROL!$C$6, $C$13, 100%, $E$13) + CHOOSE(CONTROL!$C$25, 0.0003, 0)</f>
        <v>20.630599999999998</v>
      </c>
      <c r="C267" s="4">
        <f>20.3178 * CHOOSE(CONTROL!$C$6, $C$13, 100%, $E$13) + CHOOSE(CONTROL!$C$25, 0.0003, 0)</f>
        <v>20.318099999999998</v>
      </c>
      <c r="D267" s="4">
        <f>28.0978 * CHOOSE(CONTROL!$C$6, $C$13, 100%, $E$13) + CHOOSE(CONTROL!$C$25, 0, 0)</f>
        <v>28.097799999999999</v>
      </c>
      <c r="E267" s="4">
        <f>120.323481191646 * CHOOSE(CONTROL!$C$6, $C$13, 100%, $E$13) + CHOOSE(CONTROL!$C$25, 0, 0)</f>
        <v>120.323481191646</v>
      </c>
    </row>
    <row r="268" spans="1:5" ht="15">
      <c r="A268" s="14">
        <v>50010</v>
      </c>
      <c r="B268" s="4">
        <f>20.3366 * CHOOSE(CONTROL!$C$6, $C$13, 100%, $E$13) + CHOOSE(CONTROL!$C$25, 0.0003, 0)</f>
        <v>20.3369</v>
      </c>
      <c r="C268" s="4">
        <f>20.0241 * CHOOSE(CONTROL!$C$6, $C$13, 100%, $E$13) + CHOOSE(CONTROL!$C$25, 0.0003, 0)</f>
        <v>20.0244</v>
      </c>
      <c r="D268" s="4">
        <f>27.1563 * CHOOSE(CONTROL!$C$6, $C$13, 100%, $E$13) + CHOOSE(CONTROL!$C$25, 0, 0)</f>
        <v>27.156300000000002</v>
      </c>
      <c r="E268" s="4">
        <f>118.439055763406 * CHOOSE(CONTROL!$C$6, $C$13, 100%, $E$13) + CHOOSE(CONTROL!$C$25, 0, 0)</f>
        <v>118.439055763406</v>
      </c>
    </row>
    <row r="269" spans="1:5" ht="15">
      <c r="A269" s="14">
        <v>50041</v>
      </c>
      <c r="B269" s="4">
        <f>19.8593 * CHOOSE(CONTROL!$C$6, $C$13, 100%, $E$13) + CHOOSE(CONTROL!$C$25, 0.0003, 0)</f>
        <v>19.8596</v>
      </c>
      <c r="C269" s="4">
        <f>19.5468 * CHOOSE(CONTROL!$C$6, $C$13, 100%, $E$13) + CHOOSE(CONTROL!$C$25, 0.0003, 0)</f>
        <v>19.5471</v>
      </c>
      <c r="D269" s="4">
        <f>26.2911 * CHOOSE(CONTROL!$C$6, $C$13, 100%, $E$13) + CHOOSE(CONTROL!$C$25, 0, 0)</f>
        <v>26.2911</v>
      </c>
      <c r="E269" s="4">
        <f>115.042674979448 * CHOOSE(CONTROL!$C$6, $C$13, 100%, $E$13) + CHOOSE(CONTROL!$C$25, 0, 0)</f>
        <v>115.04267497944799</v>
      </c>
    </row>
    <row r="270" spans="1:5" ht="15">
      <c r="A270" s="14">
        <v>50072</v>
      </c>
      <c r="B270" s="4">
        <f>20.2864 * CHOOSE(CONTROL!$C$6, $C$13, 100%, $E$13) + CHOOSE(CONTROL!$C$25, 0.0003, 0)</f>
        <v>20.2867</v>
      </c>
      <c r="C270" s="4">
        <f>19.9739 * CHOOSE(CONTROL!$C$6, $C$13, 100%, $E$13) + CHOOSE(CONTROL!$C$25, 0.0003, 0)</f>
        <v>19.9742</v>
      </c>
      <c r="D270" s="4">
        <f>27.1624 * CHOOSE(CONTROL!$C$6, $C$13, 100%, $E$13) + CHOOSE(CONTROL!$C$25, 0, 0)</f>
        <v>27.162400000000002</v>
      </c>
      <c r="E270" s="4">
        <f>117.774241456224 * CHOOSE(CONTROL!$C$6, $C$13, 100%, $E$13) + CHOOSE(CONTROL!$C$25, 0, 0)</f>
        <v>117.774241456224</v>
      </c>
    </row>
    <row r="271" spans="1:5" ht="15">
      <c r="A271" s="14">
        <v>50100</v>
      </c>
      <c r="B271" s="4">
        <f>21.4077 * CHOOSE(CONTROL!$C$6, $C$13, 100%, $E$13) + CHOOSE(CONTROL!$C$25, 0.0003, 0)</f>
        <v>21.407999999999998</v>
      </c>
      <c r="C271" s="4">
        <f>21.0952 * CHOOSE(CONTROL!$C$6, $C$13, 100%, $E$13) + CHOOSE(CONTROL!$C$25, 0.0003, 0)</f>
        <v>21.095499999999998</v>
      </c>
      <c r="D271" s="4">
        <f>28.5264 * CHOOSE(CONTROL!$C$6, $C$13, 100%, $E$13) + CHOOSE(CONTROL!$C$25, 0, 0)</f>
        <v>28.526399999999999</v>
      </c>
      <c r="E271" s="4">
        <f>124.947480188497 * CHOOSE(CONTROL!$C$6, $C$13, 100%, $E$13) + CHOOSE(CONTROL!$C$25, 0, 0)</f>
        <v>124.947480188497</v>
      </c>
    </row>
    <row r="272" spans="1:5" ht="15">
      <c r="A272" s="14">
        <v>50131</v>
      </c>
      <c r="B272" s="4">
        <f>22.2045 * CHOOSE(CONTROL!$C$6, $C$13, 100%, $E$13) + CHOOSE(CONTROL!$C$25, 0.0003, 0)</f>
        <v>22.204799999999999</v>
      </c>
      <c r="C272" s="4">
        <f>21.892 * CHOOSE(CONTROL!$C$6, $C$13, 100%, $E$13) + CHOOSE(CONTROL!$C$25, 0.0003, 0)</f>
        <v>21.892299999999999</v>
      </c>
      <c r="D272" s="4">
        <f>29.3121 * CHOOSE(CONTROL!$C$6, $C$13, 100%, $E$13) + CHOOSE(CONTROL!$C$25, 0, 0)</f>
        <v>29.312100000000001</v>
      </c>
      <c r="E272" s="4">
        <f>130.044161903751 * CHOOSE(CONTROL!$C$6, $C$13, 100%, $E$13) + CHOOSE(CONTROL!$C$25, 0, 0)</f>
        <v>130.04416190375099</v>
      </c>
    </row>
    <row r="273" spans="1:5" ht="15">
      <c r="A273" s="14">
        <v>50161</v>
      </c>
      <c r="B273" s="4">
        <f>22.6913 * CHOOSE(CONTROL!$C$6, $C$13, 100%, $E$13) + CHOOSE(CONTROL!$C$25, 0.0238, 0)</f>
        <v>22.7151</v>
      </c>
      <c r="C273" s="4">
        <f>22.3788 * CHOOSE(CONTROL!$C$6, $C$13, 100%, $E$13) + CHOOSE(CONTROL!$C$25, 0.0238, 0)</f>
        <v>22.4026</v>
      </c>
      <c r="D273" s="4">
        <f>29.0016 * CHOOSE(CONTROL!$C$6, $C$13, 100%, $E$13) + CHOOSE(CONTROL!$C$25, 0, 0)</f>
        <v>29.0016</v>
      </c>
      <c r="E273" s="4">
        <f>133.158112281359 * CHOOSE(CONTROL!$C$6, $C$13, 100%, $E$13) + CHOOSE(CONTROL!$C$25, 0, 0)</f>
        <v>133.158112281359</v>
      </c>
    </row>
    <row r="274" spans="1:5" ht="15">
      <c r="A274" s="14">
        <v>50192</v>
      </c>
      <c r="B274" s="4">
        <f>22.7571 * CHOOSE(CONTROL!$C$6, $C$13, 100%, $E$13) + CHOOSE(CONTROL!$C$25, 0.0238, 0)</f>
        <v>22.780900000000003</v>
      </c>
      <c r="C274" s="4">
        <f>22.4446 * CHOOSE(CONTROL!$C$6, $C$13, 100%, $E$13) + CHOOSE(CONTROL!$C$25, 0.0238, 0)</f>
        <v>22.468400000000003</v>
      </c>
      <c r="D274" s="4">
        <f>29.2545 * CHOOSE(CONTROL!$C$6, $C$13, 100%, $E$13) + CHOOSE(CONTROL!$C$25, 0, 0)</f>
        <v>29.2545</v>
      </c>
      <c r="E274" s="4">
        <f>133.579442690609 * CHOOSE(CONTROL!$C$6, $C$13, 100%, $E$13) + CHOOSE(CONTROL!$C$25, 0, 0)</f>
        <v>133.579442690609</v>
      </c>
    </row>
    <row r="275" spans="1:5" ht="15">
      <c r="A275" s="14">
        <v>50222</v>
      </c>
      <c r="B275" s="4">
        <f>22.7505 * CHOOSE(CONTROL!$C$6, $C$13, 100%, $E$13) + CHOOSE(CONTROL!$C$25, 0.0238, 0)</f>
        <v>22.7743</v>
      </c>
      <c r="C275" s="4">
        <f>22.438 * CHOOSE(CONTROL!$C$6, $C$13, 100%, $E$13) + CHOOSE(CONTROL!$C$25, 0.0238, 0)</f>
        <v>22.4618</v>
      </c>
      <c r="D275" s="4">
        <f>29.7107 * CHOOSE(CONTROL!$C$6, $C$13, 100%, $E$13) + CHOOSE(CONTROL!$C$25, 0, 0)</f>
        <v>29.710699999999999</v>
      </c>
      <c r="E275" s="4">
        <f>133.536955590517 * CHOOSE(CONTROL!$C$6, $C$13, 100%, $E$13) + CHOOSE(CONTROL!$C$25, 0, 0)</f>
        <v>133.53695559051701</v>
      </c>
    </row>
    <row r="276" spans="1:5" ht="15">
      <c r="A276" s="14">
        <v>50253</v>
      </c>
      <c r="B276" s="4">
        <f>23.2503 * CHOOSE(CONTROL!$C$6, $C$13, 100%, $E$13) + CHOOSE(CONTROL!$C$25, 0.0238, 0)</f>
        <v>23.274100000000001</v>
      </c>
      <c r="C276" s="4">
        <f>22.9378 * CHOOSE(CONTROL!$C$6, $C$13, 100%, $E$13) + CHOOSE(CONTROL!$C$25, 0.0238, 0)</f>
        <v>22.961600000000001</v>
      </c>
      <c r="D276" s="4">
        <f>29.4094 * CHOOSE(CONTROL!$C$6, $C$13, 100%, $E$13) + CHOOSE(CONTROL!$C$25, 0, 0)</f>
        <v>29.409400000000002</v>
      </c>
      <c r="E276" s="4">
        <f>136.734109872472 * CHOOSE(CONTROL!$C$6, $C$13, 100%, $E$13) + CHOOSE(CONTROL!$C$25, 0, 0)</f>
        <v>136.734109872472</v>
      </c>
    </row>
    <row r="277" spans="1:5" ht="15">
      <c r="A277" s="14">
        <v>50284</v>
      </c>
      <c r="B277" s="4">
        <f>22.3985 * CHOOSE(CONTROL!$C$6, $C$13, 100%, $E$13) + CHOOSE(CONTROL!$C$25, 0.0238, 0)</f>
        <v>22.4223</v>
      </c>
      <c r="C277" s="4">
        <f>22.086 * CHOOSE(CONTROL!$C$6, $C$13, 100%, $E$13) + CHOOSE(CONTROL!$C$25, 0.0238, 0)</f>
        <v>22.1098</v>
      </c>
      <c r="D277" s="4">
        <f>29.2671 * CHOOSE(CONTROL!$C$6, $C$13, 100%, $E$13) + CHOOSE(CONTROL!$C$25, 0, 0)</f>
        <v>29.267099999999999</v>
      </c>
      <c r="E277" s="4">
        <f>131.285139285618 * CHOOSE(CONTROL!$C$6, $C$13, 100%, $E$13) + CHOOSE(CONTROL!$C$25, 0, 0)</f>
        <v>131.28513928561799</v>
      </c>
    </row>
    <row r="278" spans="1:5" ht="15">
      <c r="A278" s="14">
        <v>50314</v>
      </c>
      <c r="B278" s="4">
        <f>21.7166 * CHOOSE(CONTROL!$C$6, $C$13, 100%, $E$13) + CHOOSE(CONTROL!$C$25, 0.0003, 0)</f>
        <v>21.716899999999999</v>
      </c>
      <c r="C278" s="4">
        <f>21.4041 * CHOOSE(CONTROL!$C$6, $C$13, 100%, $E$13) + CHOOSE(CONTROL!$C$25, 0.0003, 0)</f>
        <v>21.404399999999999</v>
      </c>
      <c r="D278" s="4">
        <f>28.8859 * CHOOSE(CONTROL!$C$6, $C$13, 100%, $E$13) + CHOOSE(CONTROL!$C$25, 0, 0)</f>
        <v>28.885899999999999</v>
      </c>
      <c r="E278" s="4">
        <f>126.923130342795 * CHOOSE(CONTROL!$C$6, $C$13, 100%, $E$13) + CHOOSE(CONTROL!$C$25, 0, 0)</f>
        <v>126.92313034279501</v>
      </c>
    </row>
    <row r="279" spans="1:5" ht="15">
      <c r="A279" s="14">
        <v>50345</v>
      </c>
      <c r="B279" s="4">
        <f>21.2774 * CHOOSE(CONTROL!$C$6, $C$13, 100%, $E$13) + CHOOSE(CONTROL!$C$25, 0.0003, 0)</f>
        <v>21.277699999999999</v>
      </c>
      <c r="C279" s="4">
        <f>20.9649 * CHOOSE(CONTROL!$C$6, $C$13, 100%, $E$13) + CHOOSE(CONTROL!$C$25, 0.0003, 0)</f>
        <v>20.965199999999999</v>
      </c>
      <c r="D279" s="4">
        <f>28.7548 * CHOOSE(CONTROL!$C$6, $C$13, 100%, $E$13) + CHOOSE(CONTROL!$C$25, 0, 0)</f>
        <v>28.754799999999999</v>
      </c>
      <c r="E279" s="4">
        <f>124.113670849183 * CHOOSE(CONTROL!$C$6, $C$13, 100%, $E$13) + CHOOSE(CONTROL!$C$25, 0, 0)</f>
        <v>124.11367084918299</v>
      </c>
    </row>
    <row r="280" spans="1:5" ht="15">
      <c r="A280" s="14">
        <v>50375</v>
      </c>
      <c r="B280" s="4">
        <f>20.9735 * CHOOSE(CONTROL!$C$6, $C$13, 100%, $E$13) + CHOOSE(CONTROL!$C$25, 0.0003, 0)</f>
        <v>20.973800000000001</v>
      </c>
      <c r="C280" s="4">
        <f>20.661 * CHOOSE(CONTROL!$C$6, $C$13, 100%, $E$13) + CHOOSE(CONTROL!$C$25, 0.0003, 0)</f>
        <v>20.661300000000001</v>
      </c>
      <c r="D280" s="4">
        <f>27.7901 * CHOOSE(CONTROL!$C$6, $C$13, 100%, $E$13) + CHOOSE(CONTROL!$C$25, 0, 0)</f>
        <v>27.790099999999999</v>
      </c>
      <c r="E280" s="4">
        <f>122.169886019954 * CHOOSE(CONTROL!$C$6, $C$13, 100%, $E$13) + CHOOSE(CONTROL!$C$25, 0, 0)</f>
        <v>122.16988601995401</v>
      </c>
    </row>
    <row r="281" spans="1:5" ht="15">
      <c r="A281" s="13">
        <v>50436</v>
      </c>
      <c r="B281" s="4">
        <f>20.4798 * CHOOSE(CONTROL!$C$6, $C$13, 100%, $E$13) + CHOOSE(CONTROL!$C$25, 0.0003, 0)</f>
        <v>20.4801</v>
      </c>
      <c r="C281" s="4">
        <f>20.1673 * CHOOSE(CONTROL!$C$6, $C$13, 100%, $E$13) + CHOOSE(CONTROL!$C$25, 0.0003, 0)</f>
        <v>20.1676</v>
      </c>
      <c r="D281" s="4">
        <f>26.9033 * CHOOSE(CONTROL!$C$6, $C$13, 100%, $E$13) + CHOOSE(CONTROL!$C$25, 0, 0)</f>
        <v>26.903300000000002</v>
      </c>
      <c r="E281" s="4">
        <f>118.666519241301 * CHOOSE(CONTROL!$C$6, $C$13, 100%, $E$13) + CHOOSE(CONTROL!$C$25, 0, 0)</f>
        <v>118.666519241301</v>
      </c>
    </row>
    <row r="282" spans="1:5" ht="15">
      <c r="A282" s="13">
        <v>50464</v>
      </c>
      <c r="B282" s="4">
        <f>20.9215 * CHOOSE(CONTROL!$C$6, $C$13, 100%, $E$13) + CHOOSE(CONTROL!$C$25, 0.0003, 0)</f>
        <v>20.921800000000001</v>
      </c>
      <c r="C282" s="4">
        <f>20.609 * CHOOSE(CONTROL!$C$6, $C$13, 100%, $E$13) + CHOOSE(CONTROL!$C$25, 0.0003, 0)</f>
        <v>20.609300000000001</v>
      </c>
      <c r="D282" s="4">
        <f>27.7963 * CHOOSE(CONTROL!$C$6, $C$13, 100%, $E$13) + CHOOSE(CONTROL!$C$25, 0, 0)</f>
        <v>27.796299999999999</v>
      </c>
      <c r="E282" s="4">
        <f>121.484130062095 * CHOOSE(CONTROL!$C$6, $C$13, 100%, $E$13) + CHOOSE(CONTROL!$C$25, 0, 0)</f>
        <v>121.48413006209501</v>
      </c>
    </row>
    <row r="283" spans="1:5" ht="15">
      <c r="A283" s="13">
        <v>50495</v>
      </c>
      <c r="B283" s="4">
        <f>22.0816 * CHOOSE(CONTROL!$C$6, $C$13, 100%, $E$13) + CHOOSE(CONTROL!$C$25, 0.0003, 0)</f>
        <v>22.081900000000001</v>
      </c>
      <c r="C283" s="4">
        <f>21.7691 * CHOOSE(CONTROL!$C$6, $C$13, 100%, $E$13) + CHOOSE(CONTROL!$C$25, 0.0003, 0)</f>
        <v>21.769400000000001</v>
      </c>
      <c r="D283" s="4">
        <f>29.1941 * CHOOSE(CONTROL!$C$6, $C$13, 100%, $E$13) + CHOOSE(CONTROL!$C$25, 0, 0)</f>
        <v>29.194099999999999</v>
      </c>
      <c r="E283" s="4">
        <f>128.883325814434 * CHOOSE(CONTROL!$C$6, $C$13, 100%, $E$13) + CHOOSE(CONTROL!$C$25, 0, 0)</f>
        <v>128.88332581443399</v>
      </c>
    </row>
    <row r="284" spans="1:5" ht="15">
      <c r="A284" s="13">
        <v>50525</v>
      </c>
      <c r="B284" s="4">
        <f>22.9058 * CHOOSE(CONTROL!$C$6, $C$13, 100%, $E$13) + CHOOSE(CONTROL!$C$25, 0.0003, 0)</f>
        <v>22.906099999999999</v>
      </c>
      <c r="C284" s="4">
        <f>22.5933 * CHOOSE(CONTROL!$C$6, $C$13, 100%, $E$13) + CHOOSE(CONTROL!$C$25, 0.0003, 0)</f>
        <v>22.593599999999999</v>
      </c>
      <c r="D284" s="4">
        <f>29.9993 * CHOOSE(CONTROL!$C$6, $C$13, 100%, $E$13) + CHOOSE(CONTROL!$C$25, 0, 0)</f>
        <v>29.999300000000002</v>
      </c>
      <c r="E284" s="4">
        <f>134.14055300372 * CHOOSE(CONTROL!$C$6, $C$13, 100%, $E$13) + CHOOSE(CONTROL!$C$25, 0, 0)</f>
        <v>134.14055300371999</v>
      </c>
    </row>
    <row r="285" spans="1:5" ht="15">
      <c r="A285" s="13">
        <v>50556</v>
      </c>
      <c r="B285" s="4">
        <f>23.4094 * CHOOSE(CONTROL!$C$6, $C$13, 100%, $E$13) + CHOOSE(CONTROL!$C$25, 0.0238, 0)</f>
        <v>23.433200000000003</v>
      </c>
      <c r="C285" s="4">
        <f>23.0969 * CHOOSE(CONTROL!$C$6, $C$13, 100%, $E$13) + CHOOSE(CONTROL!$C$25, 0.0238, 0)</f>
        <v>23.120700000000003</v>
      </c>
      <c r="D285" s="4">
        <f>29.6811 * CHOOSE(CONTROL!$C$6, $C$13, 100%, $E$13) + CHOOSE(CONTROL!$C$25, 0, 0)</f>
        <v>29.681100000000001</v>
      </c>
      <c r="E285" s="4">
        <f>137.352592818222 * CHOOSE(CONTROL!$C$6, $C$13, 100%, $E$13) + CHOOSE(CONTROL!$C$25, 0, 0)</f>
        <v>137.35259281822201</v>
      </c>
    </row>
    <row r="286" spans="1:5" ht="15">
      <c r="A286" s="13">
        <v>50586</v>
      </c>
      <c r="B286" s="4">
        <f>23.4776 * CHOOSE(CONTROL!$C$6, $C$13, 100%, $E$13) + CHOOSE(CONTROL!$C$25, 0.0238, 0)</f>
        <v>23.5014</v>
      </c>
      <c r="C286" s="4">
        <f>23.1651 * CHOOSE(CONTROL!$C$6, $C$13, 100%, $E$13) + CHOOSE(CONTROL!$C$25, 0.0238, 0)</f>
        <v>23.1889</v>
      </c>
      <c r="D286" s="4">
        <f>29.9402 * CHOOSE(CONTROL!$C$6, $C$13, 100%, $E$13) + CHOOSE(CONTROL!$C$25, 0, 0)</f>
        <v>29.940200000000001</v>
      </c>
      <c r="E286" s="4">
        <f>137.787195135363 * CHOOSE(CONTROL!$C$6, $C$13, 100%, $E$13) + CHOOSE(CONTROL!$C$25, 0, 0)</f>
        <v>137.78719513536299</v>
      </c>
    </row>
    <row r="287" spans="1:5" ht="15">
      <c r="A287" s="13">
        <v>50617</v>
      </c>
      <c r="B287" s="4">
        <f>23.4707 * CHOOSE(CONTROL!$C$6, $C$13, 100%, $E$13) + CHOOSE(CONTROL!$C$25, 0.0238, 0)</f>
        <v>23.494500000000002</v>
      </c>
      <c r="C287" s="4">
        <f>23.1582 * CHOOSE(CONTROL!$C$6, $C$13, 100%, $E$13) + CHOOSE(CONTROL!$C$25, 0.0238, 0)</f>
        <v>23.182000000000002</v>
      </c>
      <c r="D287" s="4">
        <f>30.4078 * CHOOSE(CONTROL!$C$6, $C$13, 100%, $E$13) + CHOOSE(CONTROL!$C$25, 0, 0)</f>
        <v>30.407800000000002</v>
      </c>
      <c r="E287" s="4">
        <f>137.743369691618 * CHOOSE(CONTROL!$C$6, $C$13, 100%, $E$13) + CHOOSE(CONTROL!$C$25, 0, 0)</f>
        <v>137.743369691618</v>
      </c>
    </row>
    <row r="288" spans="1:5" ht="15">
      <c r="A288" s="13">
        <v>50648</v>
      </c>
      <c r="B288" s="4">
        <f>23.9877 * CHOOSE(CONTROL!$C$6, $C$13, 100%, $E$13) + CHOOSE(CONTROL!$C$25, 0.0238, 0)</f>
        <v>24.011500000000002</v>
      </c>
      <c r="C288" s="4">
        <f>23.6752 * CHOOSE(CONTROL!$C$6, $C$13, 100%, $E$13) + CHOOSE(CONTROL!$C$25, 0.0238, 0)</f>
        <v>23.699000000000002</v>
      </c>
      <c r="D288" s="4">
        <f>30.099 * CHOOSE(CONTROL!$C$6, $C$13, 100%, $E$13) + CHOOSE(CONTROL!$C$25, 0, 0)</f>
        <v>30.099</v>
      </c>
      <c r="E288" s="4">
        <f>141.041234333455 * CHOOSE(CONTROL!$C$6, $C$13, 100%, $E$13) + CHOOSE(CONTROL!$C$25, 0, 0)</f>
        <v>141.04123433345501</v>
      </c>
    </row>
    <row r="289" spans="1:5" ht="15">
      <c r="A289" s="13">
        <v>50678</v>
      </c>
      <c r="B289" s="4">
        <f>23.1065 * CHOOSE(CONTROL!$C$6, $C$13, 100%, $E$13) + CHOOSE(CONTROL!$C$25, 0.0238, 0)</f>
        <v>23.130300000000002</v>
      </c>
      <c r="C289" s="4">
        <f>22.794 * CHOOSE(CONTROL!$C$6, $C$13, 100%, $E$13) + CHOOSE(CONTROL!$C$25, 0.0238, 0)</f>
        <v>22.817800000000002</v>
      </c>
      <c r="D289" s="4">
        <f>29.9531 * CHOOSE(CONTROL!$C$6, $C$13, 100%, $E$13) + CHOOSE(CONTROL!$C$25, 0, 0)</f>
        <v>29.953099999999999</v>
      </c>
      <c r="E289" s="4">
        <f>135.420621173115 * CHOOSE(CONTROL!$C$6, $C$13, 100%, $E$13) + CHOOSE(CONTROL!$C$25, 0, 0)</f>
        <v>135.42062117311499</v>
      </c>
    </row>
    <row r="290" spans="1:5" ht="15">
      <c r="A290" s="13">
        <v>50709</v>
      </c>
      <c r="B290" s="4">
        <f>22.4011 * CHOOSE(CONTROL!$C$6, $C$13, 100%, $E$13) + CHOOSE(CONTROL!$C$25, 0.0003, 0)</f>
        <v>22.401399999999999</v>
      </c>
      <c r="C290" s="4">
        <f>22.0886 * CHOOSE(CONTROL!$C$6, $C$13, 100%, $E$13) + CHOOSE(CONTROL!$C$25, 0.0003, 0)</f>
        <v>22.088899999999999</v>
      </c>
      <c r="D290" s="4">
        <f>29.5625 * CHOOSE(CONTROL!$C$6, $C$13, 100%, $E$13) + CHOOSE(CONTROL!$C$25, 0, 0)</f>
        <v>29.5625</v>
      </c>
      <c r="E290" s="4">
        <f>130.921208948593 * CHOOSE(CONTROL!$C$6, $C$13, 100%, $E$13) + CHOOSE(CONTROL!$C$25, 0, 0)</f>
        <v>130.92120894859301</v>
      </c>
    </row>
    <row r="291" spans="1:5" ht="15">
      <c r="A291" s="13">
        <v>50739</v>
      </c>
      <c r="B291" s="4">
        <f>21.9468 * CHOOSE(CONTROL!$C$6, $C$13, 100%, $E$13) + CHOOSE(CONTROL!$C$25, 0.0003, 0)</f>
        <v>21.947099999999999</v>
      </c>
      <c r="C291" s="4">
        <f>21.6343 * CHOOSE(CONTROL!$C$6, $C$13, 100%, $E$13) + CHOOSE(CONTROL!$C$25, 0.0003, 0)</f>
        <v>21.634599999999999</v>
      </c>
      <c r="D291" s="4">
        <f>29.4282 * CHOOSE(CONTROL!$C$6, $C$13, 100%, $E$13) + CHOOSE(CONTROL!$C$25, 0, 0)</f>
        <v>29.4282</v>
      </c>
      <c r="E291" s="4">
        <f>128.023251480932 * CHOOSE(CONTROL!$C$6, $C$13, 100%, $E$13) + CHOOSE(CONTROL!$C$25, 0, 0)</f>
        <v>128.023251480932</v>
      </c>
    </row>
    <row r="292" spans="1:5" ht="15">
      <c r="A292" s="13">
        <v>50770</v>
      </c>
      <c r="B292" s="4">
        <f>21.6324 * CHOOSE(CONTROL!$C$6, $C$13, 100%, $E$13) + CHOOSE(CONTROL!$C$25, 0.0003, 0)</f>
        <v>21.6327</v>
      </c>
      <c r="C292" s="4">
        <f>21.3199 * CHOOSE(CONTROL!$C$6, $C$13, 100%, $E$13) + CHOOSE(CONTROL!$C$25, 0.0003, 0)</f>
        <v>21.3202</v>
      </c>
      <c r="D292" s="4">
        <f>28.4395 * CHOOSE(CONTROL!$C$6, $C$13, 100%, $E$13) + CHOOSE(CONTROL!$C$25, 0, 0)</f>
        <v>28.439499999999999</v>
      </c>
      <c r="E292" s="4">
        <f>126.018237429582 * CHOOSE(CONTROL!$C$6, $C$13, 100%, $E$13) + CHOOSE(CONTROL!$C$25, 0, 0)</f>
        <v>126.018237429582</v>
      </c>
    </row>
    <row r="293" spans="1:5" ht="15">
      <c r="A293" s="13">
        <v>50801</v>
      </c>
      <c r="B293" s="4">
        <f>21.1217 * CHOOSE(CONTROL!$C$6, $C$13, 100%, $E$13) + CHOOSE(CONTROL!$C$25, 0.0003, 0)</f>
        <v>21.122</v>
      </c>
      <c r="C293" s="4">
        <f>20.8092 * CHOOSE(CONTROL!$C$6, $C$13, 100%, $E$13) + CHOOSE(CONTROL!$C$25, 0.0003, 0)</f>
        <v>20.8095</v>
      </c>
      <c r="D293" s="4">
        <f>27.5308 * CHOOSE(CONTROL!$C$6, $C$13, 100%, $E$13) + CHOOSE(CONTROL!$C$25, 0, 0)</f>
        <v>27.530799999999999</v>
      </c>
      <c r="E293" s="4">
        <f>122.404514597402 * CHOOSE(CONTROL!$C$6, $C$13, 100%, $E$13) + CHOOSE(CONTROL!$C$25, 0, 0)</f>
        <v>122.404514597402</v>
      </c>
    </row>
    <row r="294" spans="1:5" ht="15">
      <c r="A294" s="13">
        <v>50829</v>
      </c>
      <c r="B294" s="4">
        <f>21.5786 * CHOOSE(CONTROL!$C$6, $C$13, 100%, $E$13) + CHOOSE(CONTROL!$C$25, 0.0003, 0)</f>
        <v>21.578900000000001</v>
      </c>
      <c r="C294" s="4">
        <f>21.2661 * CHOOSE(CONTROL!$C$6, $C$13, 100%, $E$13) + CHOOSE(CONTROL!$C$25, 0.0003, 0)</f>
        <v>21.266400000000001</v>
      </c>
      <c r="D294" s="4">
        <f>28.4459 * CHOOSE(CONTROL!$C$6, $C$13, 100%, $E$13) + CHOOSE(CONTROL!$C$25, 0, 0)</f>
        <v>28.445900000000002</v>
      </c>
      <c r="E294" s="4">
        <f>125.310880159051 * CHOOSE(CONTROL!$C$6, $C$13, 100%, $E$13) + CHOOSE(CONTROL!$C$25, 0, 0)</f>
        <v>125.310880159051</v>
      </c>
    </row>
    <row r="295" spans="1:5" ht="15">
      <c r="A295" s="13">
        <v>50860</v>
      </c>
      <c r="B295" s="4">
        <f>22.7787 * CHOOSE(CONTROL!$C$6, $C$13, 100%, $E$13) + CHOOSE(CONTROL!$C$25, 0.0003, 0)</f>
        <v>22.779</v>
      </c>
      <c r="C295" s="4">
        <f>22.4662 * CHOOSE(CONTROL!$C$6, $C$13, 100%, $E$13) + CHOOSE(CONTROL!$C$25, 0.0003, 0)</f>
        <v>22.4665</v>
      </c>
      <c r="D295" s="4">
        <f>29.8783 * CHOOSE(CONTROL!$C$6, $C$13, 100%, $E$13) + CHOOSE(CONTROL!$C$25, 0, 0)</f>
        <v>29.878299999999999</v>
      </c>
      <c r="E295" s="4">
        <f>132.943150577589 * CHOOSE(CONTROL!$C$6, $C$13, 100%, $E$13) + CHOOSE(CONTROL!$C$25, 0, 0)</f>
        <v>132.94315057758899</v>
      </c>
    </row>
    <row r="296" spans="1:5" ht="15">
      <c r="A296" s="13">
        <v>50890</v>
      </c>
      <c r="B296" s="4">
        <f>23.6314 * CHOOSE(CONTROL!$C$6, $C$13, 100%, $E$13) + CHOOSE(CONTROL!$C$25, 0.0003, 0)</f>
        <v>23.631699999999999</v>
      </c>
      <c r="C296" s="4">
        <f>23.3189 * CHOOSE(CONTROL!$C$6, $C$13, 100%, $E$13) + CHOOSE(CONTROL!$C$25, 0.0003, 0)</f>
        <v>23.319199999999999</v>
      </c>
      <c r="D296" s="4">
        <f>30.7035 * CHOOSE(CONTROL!$C$6, $C$13, 100%, $E$13) + CHOOSE(CONTROL!$C$25, 0, 0)</f>
        <v>30.703499999999998</v>
      </c>
      <c r="E296" s="4">
        <f>138.365980423337 * CHOOSE(CONTROL!$C$6, $C$13, 100%, $E$13) + CHOOSE(CONTROL!$C$25, 0, 0)</f>
        <v>138.36598042333699</v>
      </c>
    </row>
    <row r="297" spans="1:5" ht="15">
      <c r="A297" s="13">
        <v>50921</v>
      </c>
      <c r="B297" s="4">
        <f>24.1524 * CHOOSE(CONTROL!$C$6, $C$13, 100%, $E$13) + CHOOSE(CONTROL!$C$25, 0.0238, 0)</f>
        <v>24.176200000000001</v>
      </c>
      <c r="C297" s="4">
        <f>23.8399 * CHOOSE(CONTROL!$C$6, $C$13, 100%, $E$13) + CHOOSE(CONTROL!$C$25, 0.0238, 0)</f>
        <v>23.863700000000001</v>
      </c>
      <c r="D297" s="4">
        <f>30.3774 * CHOOSE(CONTROL!$C$6, $C$13, 100%, $E$13) + CHOOSE(CONTROL!$C$25, 0, 0)</f>
        <v>30.377400000000002</v>
      </c>
      <c r="E297" s="4">
        <f>141.679199491996 * CHOOSE(CONTROL!$C$6, $C$13, 100%, $E$13) + CHOOSE(CONTROL!$C$25, 0, 0)</f>
        <v>141.679199491996</v>
      </c>
    </row>
    <row r="298" spans="1:5" ht="15">
      <c r="A298" s="13">
        <v>50951</v>
      </c>
      <c r="B298" s="4">
        <f>24.2229 * CHOOSE(CONTROL!$C$6, $C$13, 100%, $E$13) + CHOOSE(CONTROL!$C$25, 0.0238, 0)</f>
        <v>24.246700000000001</v>
      </c>
      <c r="C298" s="4">
        <f>23.9104 * CHOOSE(CONTROL!$C$6, $C$13, 100%, $E$13) + CHOOSE(CONTROL!$C$25, 0.0238, 0)</f>
        <v>23.934200000000001</v>
      </c>
      <c r="D298" s="4">
        <f>30.643 * CHOOSE(CONTROL!$C$6, $C$13, 100%, $E$13) + CHOOSE(CONTROL!$C$25, 0, 0)</f>
        <v>30.643000000000001</v>
      </c>
      <c r="E298" s="4">
        <f>142.127491782127 * CHOOSE(CONTROL!$C$6, $C$13, 100%, $E$13) + CHOOSE(CONTROL!$C$25, 0, 0)</f>
        <v>142.12749178212701</v>
      </c>
    </row>
    <row r="299" spans="1:5" ht="15">
      <c r="A299" s="13">
        <v>50982</v>
      </c>
      <c r="B299" s="4">
        <f>24.2158 * CHOOSE(CONTROL!$C$6, $C$13, 100%, $E$13) + CHOOSE(CONTROL!$C$25, 0.0238, 0)</f>
        <v>24.239600000000003</v>
      </c>
      <c r="C299" s="4">
        <f>23.9033 * CHOOSE(CONTROL!$C$6, $C$13, 100%, $E$13) + CHOOSE(CONTROL!$C$25, 0.0238, 0)</f>
        <v>23.927100000000003</v>
      </c>
      <c r="D299" s="4">
        <f>31.1222 * CHOOSE(CONTROL!$C$6, $C$13, 100%, $E$13) + CHOOSE(CONTROL!$C$25, 0, 0)</f>
        <v>31.122199999999999</v>
      </c>
      <c r="E299" s="4">
        <f>142.082285836904 * CHOOSE(CONTROL!$C$6, $C$13, 100%, $E$13) + CHOOSE(CONTROL!$C$25, 0, 0)</f>
        <v>142.08228583690399</v>
      </c>
    </row>
    <row r="300" spans="1:5" ht="15">
      <c r="A300" s="13">
        <v>51013</v>
      </c>
      <c r="B300" s="4">
        <f>24.7506 * CHOOSE(CONTROL!$C$6, $C$13, 100%, $E$13) + CHOOSE(CONTROL!$C$25, 0.0238, 0)</f>
        <v>24.7744</v>
      </c>
      <c r="C300" s="4">
        <f>24.4381 * CHOOSE(CONTROL!$C$6, $C$13, 100%, $E$13) + CHOOSE(CONTROL!$C$25, 0.0238, 0)</f>
        <v>24.4619</v>
      </c>
      <c r="D300" s="4">
        <f>30.8057 * CHOOSE(CONTROL!$C$6, $C$13, 100%, $E$13) + CHOOSE(CONTROL!$C$25, 0, 0)</f>
        <v>30.805700000000002</v>
      </c>
      <c r="E300" s="4">
        <f>145.484033214959 * CHOOSE(CONTROL!$C$6, $C$13, 100%, $E$13) + CHOOSE(CONTROL!$C$25, 0, 0)</f>
        <v>145.484033214959</v>
      </c>
    </row>
    <row r="301" spans="1:5" ht="15">
      <c r="A301" s="13">
        <v>51043</v>
      </c>
      <c r="B301" s="4">
        <f>23.839 * CHOOSE(CONTROL!$C$6, $C$13, 100%, $E$13) + CHOOSE(CONTROL!$C$25, 0.0238, 0)</f>
        <v>23.8628</v>
      </c>
      <c r="C301" s="4">
        <f>23.5265 * CHOOSE(CONTROL!$C$6, $C$13, 100%, $E$13) + CHOOSE(CONTROL!$C$25, 0.0238, 0)</f>
        <v>23.5503</v>
      </c>
      <c r="D301" s="4">
        <f>30.6562 * CHOOSE(CONTROL!$C$6, $C$13, 100%, $E$13) + CHOOSE(CONTROL!$C$25, 0, 0)</f>
        <v>30.656199999999998</v>
      </c>
      <c r="E301" s="4">
        <f>139.686370740068 * CHOOSE(CONTROL!$C$6, $C$13, 100%, $E$13) + CHOOSE(CONTROL!$C$25, 0, 0)</f>
        <v>139.68637074006801</v>
      </c>
    </row>
    <row r="302" spans="1:5" ht="15">
      <c r="A302" s="13">
        <v>51074</v>
      </c>
      <c r="B302" s="4">
        <f>23.1093 * CHOOSE(CONTROL!$C$6, $C$13, 100%, $E$13) + CHOOSE(CONTROL!$C$25, 0.0003, 0)</f>
        <v>23.1096</v>
      </c>
      <c r="C302" s="4">
        <f>22.7968 * CHOOSE(CONTROL!$C$6, $C$13, 100%, $E$13) + CHOOSE(CONTROL!$C$25, 0.0003, 0)</f>
        <v>22.7971</v>
      </c>
      <c r="D302" s="4">
        <f>30.2559 * CHOOSE(CONTROL!$C$6, $C$13, 100%, $E$13) + CHOOSE(CONTROL!$C$25, 0, 0)</f>
        <v>30.2559</v>
      </c>
      <c r="E302" s="4">
        <f>135.045227030473 * CHOOSE(CONTROL!$C$6, $C$13, 100%, $E$13) + CHOOSE(CONTROL!$C$25, 0, 0)</f>
        <v>135.045227030473</v>
      </c>
    </row>
    <row r="303" spans="1:5" ht="15">
      <c r="A303" s="13">
        <v>51104</v>
      </c>
      <c r="B303" s="4">
        <f>22.6392 * CHOOSE(CONTROL!$C$6, $C$13, 100%, $E$13) + CHOOSE(CONTROL!$C$25, 0.0003, 0)</f>
        <v>22.639499999999998</v>
      </c>
      <c r="C303" s="4">
        <f>22.3267 * CHOOSE(CONTROL!$C$6, $C$13, 100%, $E$13) + CHOOSE(CONTROL!$C$25, 0.0003, 0)</f>
        <v>22.326999999999998</v>
      </c>
      <c r="D303" s="4">
        <f>30.1183 * CHOOSE(CONTROL!$C$6, $C$13, 100%, $E$13) + CHOOSE(CONTROL!$C$25, 0, 0)</f>
        <v>30.118300000000001</v>
      </c>
      <c r="E303" s="4">
        <f>132.055983902581 * CHOOSE(CONTROL!$C$6, $C$13, 100%, $E$13) + CHOOSE(CONTROL!$C$25, 0, 0)</f>
        <v>132.055983902581</v>
      </c>
    </row>
    <row r="304" spans="1:5" ht="15">
      <c r="A304" s="13">
        <v>51135</v>
      </c>
      <c r="B304" s="4">
        <f>22.314 * CHOOSE(CONTROL!$C$6, $C$13, 100%, $E$13) + CHOOSE(CONTROL!$C$25, 0.0003, 0)</f>
        <v>22.314299999999999</v>
      </c>
      <c r="C304" s="4">
        <f>22.0015 * CHOOSE(CONTROL!$C$6, $C$13, 100%, $E$13) + CHOOSE(CONTROL!$C$25, 0.0003, 0)</f>
        <v>22.001799999999999</v>
      </c>
      <c r="D304" s="4">
        <f>29.105 * CHOOSE(CONTROL!$C$6, $C$13, 100%, $E$13) + CHOOSE(CONTROL!$C$25, 0, 0)</f>
        <v>29.105</v>
      </c>
      <c r="E304" s="4">
        <f>129.987811908614 * CHOOSE(CONTROL!$C$6, $C$13, 100%, $E$13) + CHOOSE(CONTROL!$C$25, 0, 0)</f>
        <v>129.98781190861399</v>
      </c>
    </row>
    <row r="305" spans="1:5" ht="15">
      <c r="A305" s="13">
        <v>51166</v>
      </c>
      <c r="B305" s="4">
        <f>21.7857 * CHOOSE(CONTROL!$C$6, $C$13, 100%, $E$13) + CHOOSE(CONTROL!$C$25, 0.0003, 0)</f>
        <v>21.785999999999998</v>
      </c>
      <c r="C305" s="4">
        <f>21.4732 * CHOOSE(CONTROL!$C$6, $C$13, 100%, $E$13) + CHOOSE(CONTROL!$C$25, 0.0003, 0)</f>
        <v>21.473499999999998</v>
      </c>
      <c r="D305" s="4">
        <f>28.1738 * CHOOSE(CONTROL!$C$6, $C$13, 100%, $E$13) + CHOOSE(CONTROL!$C$25, 0, 0)</f>
        <v>28.1738</v>
      </c>
      <c r="E305" s="4">
        <f>126.26025680722 * CHOOSE(CONTROL!$C$6, $C$13, 100%, $E$13) + CHOOSE(CONTROL!$C$25, 0, 0)</f>
        <v>126.26025680722</v>
      </c>
    </row>
    <row r="306" spans="1:5" ht="15">
      <c r="A306" s="13">
        <v>51194</v>
      </c>
      <c r="B306" s="4">
        <f>22.2584 * CHOOSE(CONTROL!$C$6, $C$13, 100%, $E$13) + CHOOSE(CONTROL!$C$25, 0.0003, 0)</f>
        <v>22.258700000000001</v>
      </c>
      <c r="C306" s="4">
        <f>21.9459 * CHOOSE(CONTROL!$C$6, $C$13, 100%, $E$13) + CHOOSE(CONTROL!$C$25, 0.0003, 0)</f>
        <v>21.946200000000001</v>
      </c>
      <c r="D306" s="4">
        <f>29.1115 * CHOOSE(CONTROL!$C$6, $C$13, 100%, $E$13) + CHOOSE(CONTROL!$C$25, 0, 0)</f>
        <v>29.111499999999999</v>
      </c>
      <c r="E306" s="4">
        <f>129.258172884061 * CHOOSE(CONTROL!$C$6, $C$13, 100%, $E$13) + CHOOSE(CONTROL!$C$25, 0, 0)</f>
        <v>129.258172884061</v>
      </c>
    </row>
    <row r="307" spans="1:5" ht="15">
      <c r="A307" s="13">
        <v>51226</v>
      </c>
      <c r="B307" s="4">
        <f>23.4999 * CHOOSE(CONTROL!$C$6, $C$13, 100%, $E$13) + CHOOSE(CONTROL!$C$25, 0.0003, 0)</f>
        <v>23.5002</v>
      </c>
      <c r="C307" s="4">
        <f>23.1874 * CHOOSE(CONTROL!$C$6, $C$13, 100%, $E$13) + CHOOSE(CONTROL!$C$25, 0.0003, 0)</f>
        <v>23.1877</v>
      </c>
      <c r="D307" s="4">
        <f>30.5796 * CHOOSE(CONTROL!$C$6, $C$13, 100%, $E$13) + CHOOSE(CONTROL!$C$25, 0, 0)</f>
        <v>30.579599999999999</v>
      </c>
      <c r="E307" s="4">
        <f>137.130859820783 * CHOOSE(CONTROL!$C$6, $C$13, 100%, $E$13) + CHOOSE(CONTROL!$C$25, 0, 0)</f>
        <v>137.130859820783</v>
      </c>
    </row>
    <row r="308" spans="1:5" ht="15">
      <c r="A308" s="13">
        <v>51256</v>
      </c>
      <c r="B308" s="4">
        <f>24.382 * CHOOSE(CONTROL!$C$6, $C$13, 100%, $E$13) + CHOOSE(CONTROL!$C$25, 0.0003, 0)</f>
        <v>24.382300000000001</v>
      </c>
      <c r="C308" s="4">
        <f>24.0695 * CHOOSE(CONTROL!$C$6, $C$13, 100%, $E$13) + CHOOSE(CONTROL!$C$25, 0.0003, 0)</f>
        <v>24.069800000000001</v>
      </c>
      <c r="D308" s="4">
        <f>31.4252 * CHOOSE(CONTROL!$C$6, $C$13, 100%, $E$13) + CHOOSE(CONTROL!$C$25, 0, 0)</f>
        <v>31.4252</v>
      </c>
      <c r="E308" s="4">
        <f>142.724508806672 * CHOOSE(CONTROL!$C$6, $C$13, 100%, $E$13) + CHOOSE(CONTROL!$C$25, 0, 0)</f>
        <v>142.72450880667199</v>
      </c>
    </row>
    <row r="309" spans="1:5" ht="15">
      <c r="A309" s="13">
        <v>51287</v>
      </c>
      <c r="B309" s="4">
        <f>24.9209 * CHOOSE(CONTROL!$C$6, $C$13, 100%, $E$13) + CHOOSE(CONTROL!$C$25, 0.0238, 0)</f>
        <v>24.944700000000001</v>
      </c>
      <c r="C309" s="4">
        <f>24.6084 * CHOOSE(CONTROL!$C$6, $C$13, 100%, $E$13) + CHOOSE(CONTROL!$C$25, 0.0238, 0)</f>
        <v>24.632200000000001</v>
      </c>
      <c r="D309" s="4">
        <f>31.091 * CHOOSE(CONTROL!$C$6, $C$13, 100%, $E$13) + CHOOSE(CONTROL!$C$25, 0, 0)</f>
        <v>31.091000000000001</v>
      </c>
      <c r="E309" s="4">
        <f>146.142094275994 * CHOOSE(CONTROL!$C$6, $C$13, 100%, $E$13) + CHOOSE(CONTROL!$C$25, 0, 0)</f>
        <v>146.142094275994</v>
      </c>
    </row>
    <row r="310" spans="1:5" ht="15">
      <c r="A310" s="13">
        <v>51317</v>
      </c>
      <c r="B310" s="4">
        <f>24.9939 * CHOOSE(CONTROL!$C$6, $C$13, 100%, $E$13) + CHOOSE(CONTROL!$C$25, 0.0238, 0)</f>
        <v>25.017700000000001</v>
      </c>
      <c r="C310" s="4">
        <f>24.6814 * CHOOSE(CONTROL!$C$6, $C$13, 100%, $E$13) + CHOOSE(CONTROL!$C$25, 0.0238, 0)</f>
        <v>24.705200000000001</v>
      </c>
      <c r="D310" s="4">
        <f>31.3632 * CHOOSE(CONTROL!$C$6, $C$13, 100%, $E$13) + CHOOSE(CONTROL!$C$25, 0, 0)</f>
        <v>31.363199999999999</v>
      </c>
      <c r="E310" s="4">
        <f>146.604507773264 * CHOOSE(CONTROL!$C$6, $C$13, 100%, $E$13) + CHOOSE(CONTROL!$C$25, 0, 0)</f>
        <v>146.604507773264</v>
      </c>
    </row>
    <row r="311" spans="1:5" ht="15">
      <c r="A311" s="13">
        <v>51348</v>
      </c>
      <c r="B311" s="4">
        <f>24.9865 * CHOOSE(CONTROL!$C$6, $C$13, 100%, $E$13) + CHOOSE(CONTROL!$C$25, 0.0238, 0)</f>
        <v>25.010300000000001</v>
      </c>
      <c r="C311" s="4">
        <f>24.674 * CHOOSE(CONTROL!$C$6, $C$13, 100%, $E$13) + CHOOSE(CONTROL!$C$25, 0.0238, 0)</f>
        <v>24.697800000000001</v>
      </c>
      <c r="D311" s="4">
        <f>31.8542 * CHOOSE(CONTROL!$C$6, $C$13, 100%, $E$13) + CHOOSE(CONTROL!$C$25, 0, 0)</f>
        <v>31.854199999999999</v>
      </c>
      <c r="E311" s="4">
        <f>146.557877840766 * CHOOSE(CONTROL!$C$6, $C$13, 100%, $E$13) + CHOOSE(CONTROL!$C$25, 0, 0)</f>
        <v>146.557877840766</v>
      </c>
    </row>
    <row r="312" spans="1:5" ht="15">
      <c r="A312" s="13">
        <v>51379</v>
      </c>
      <c r="B312" s="4">
        <f>25.5398 * CHOOSE(CONTROL!$C$6, $C$13, 100%, $E$13) + CHOOSE(CONTROL!$C$25, 0.0238, 0)</f>
        <v>25.563600000000001</v>
      </c>
      <c r="C312" s="4">
        <f>25.2273 * CHOOSE(CONTROL!$C$6, $C$13, 100%, $E$13) + CHOOSE(CONTROL!$C$25, 0.0238, 0)</f>
        <v>25.251100000000001</v>
      </c>
      <c r="D312" s="4">
        <f>31.5299 * CHOOSE(CONTROL!$C$6, $C$13, 100%, $E$13) + CHOOSE(CONTROL!$C$25, 0, 0)</f>
        <v>31.529900000000001</v>
      </c>
      <c r="E312" s="4">
        <f>150.06678026123 * CHOOSE(CONTROL!$C$6, $C$13, 100%, $E$13) + CHOOSE(CONTROL!$C$25, 0, 0)</f>
        <v>150.06678026123001</v>
      </c>
    </row>
    <row r="313" spans="1:5" ht="15">
      <c r="A313" s="13">
        <v>51409</v>
      </c>
      <c r="B313" s="4">
        <f>24.5968 * CHOOSE(CONTROL!$C$6, $C$13, 100%, $E$13) + CHOOSE(CONTROL!$C$25, 0.0238, 0)</f>
        <v>24.620600000000003</v>
      </c>
      <c r="C313" s="4">
        <f>24.2843 * CHOOSE(CONTROL!$C$6, $C$13, 100%, $E$13) + CHOOSE(CONTROL!$C$25, 0.0238, 0)</f>
        <v>24.308100000000003</v>
      </c>
      <c r="D313" s="4">
        <f>31.3767 * CHOOSE(CONTROL!$C$6, $C$13, 100%, $E$13) + CHOOSE(CONTROL!$C$25, 0, 0)</f>
        <v>31.3767</v>
      </c>
      <c r="E313" s="4">
        <f>144.08649141838 * CHOOSE(CONTROL!$C$6, $C$13, 100%, $E$13) + CHOOSE(CONTROL!$C$25, 0, 0)</f>
        <v>144.08649141838001</v>
      </c>
    </row>
    <row r="314" spans="1:5" ht="15">
      <c r="A314" s="13">
        <v>51440</v>
      </c>
      <c r="B314" s="4">
        <f>23.8418 * CHOOSE(CONTROL!$C$6, $C$13, 100%, $E$13) + CHOOSE(CONTROL!$C$25, 0.0003, 0)</f>
        <v>23.842099999999999</v>
      </c>
      <c r="C314" s="4">
        <f>23.5293 * CHOOSE(CONTROL!$C$6, $C$13, 100%, $E$13) + CHOOSE(CONTROL!$C$25, 0.0003, 0)</f>
        <v>23.529599999999999</v>
      </c>
      <c r="D314" s="4">
        <f>30.9665 * CHOOSE(CONTROL!$C$6, $C$13, 100%, $E$13) + CHOOSE(CONTROL!$C$25, 0, 0)</f>
        <v>30.9665</v>
      </c>
      <c r="E314" s="4">
        <f>139.299151681933 * CHOOSE(CONTROL!$C$6, $C$13, 100%, $E$13) + CHOOSE(CONTROL!$C$25, 0, 0)</f>
        <v>139.29915168193301</v>
      </c>
    </row>
    <row r="315" spans="1:5" ht="15">
      <c r="A315" s="13">
        <v>51470</v>
      </c>
      <c r="B315" s="4">
        <f>23.3556 * CHOOSE(CONTROL!$C$6, $C$13, 100%, $E$13) + CHOOSE(CONTROL!$C$25, 0.0003, 0)</f>
        <v>23.355899999999998</v>
      </c>
      <c r="C315" s="4">
        <f>23.0431 * CHOOSE(CONTROL!$C$6, $C$13, 100%, $E$13) + CHOOSE(CONTROL!$C$25, 0.0003, 0)</f>
        <v>23.043399999999998</v>
      </c>
      <c r="D315" s="4">
        <f>30.8254 * CHOOSE(CONTROL!$C$6, $C$13, 100%, $E$13) + CHOOSE(CONTROL!$C$25, 0, 0)</f>
        <v>30.825399999999998</v>
      </c>
      <c r="E315" s="4">
        <f>136.215747395512 * CHOOSE(CONTROL!$C$6, $C$13, 100%, $E$13) + CHOOSE(CONTROL!$C$25, 0, 0)</f>
        <v>136.21574739551201</v>
      </c>
    </row>
    <row r="316" spans="1:5" ht="15">
      <c r="A316" s="13">
        <v>51501</v>
      </c>
      <c r="B316" s="4">
        <f>23.0192 * CHOOSE(CONTROL!$C$6, $C$13, 100%, $E$13) + CHOOSE(CONTROL!$C$25, 0.0003, 0)</f>
        <v>23.019500000000001</v>
      </c>
      <c r="C316" s="4">
        <f>22.7067 * CHOOSE(CONTROL!$C$6, $C$13, 100%, $E$13) + CHOOSE(CONTROL!$C$25, 0.0003, 0)</f>
        <v>22.707000000000001</v>
      </c>
      <c r="D316" s="4">
        <f>29.7871 * CHOOSE(CONTROL!$C$6, $C$13, 100%, $E$13) + CHOOSE(CONTROL!$C$25, 0, 0)</f>
        <v>29.787099999999999</v>
      </c>
      <c r="E316" s="4">
        <f>134.082427983735 * CHOOSE(CONTROL!$C$6, $C$13, 100%, $E$13) + CHOOSE(CONTROL!$C$25, 0, 0)</f>
        <v>134.08242798373499</v>
      </c>
    </row>
    <row r="317" spans="1:5" ht="15">
      <c r="A317" s="13">
        <v>51532</v>
      </c>
      <c r="B317" s="4">
        <f>22.4726 * CHOOSE(CONTROL!$C$6, $C$13, 100%, $E$13) + CHOOSE(CONTROL!$C$25, 0.0003, 0)</f>
        <v>22.472899999999999</v>
      </c>
      <c r="C317" s="4">
        <f>22.1601 * CHOOSE(CONTROL!$C$6, $C$13, 100%, $E$13) + CHOOSE(CONTROL!$C$25, 0.0003, 0)</f>
        <v>22.160399999999999</v>
      </c>
      <c r="D317" s="4">
        <f>28.8327 * CHOOSE(CONTROL!$C$6, $C$13, 100%, $E$13) + CHOOSE(CONTROL!$C$25, 0, 0)</f>
        <v>28.832699999999999</v>
      </c>
      <c r="E317" s="4">
        <f>130.237454896647 * CHOOSE(CONTROL!$C$6, $C$13, 100%, $E$13) + CHOOSE(CONTROL!$C$25, 0, 0)</f>
        <v>130.23745489664699</v>
      </c>
    </row>
    <row r="318" spans="1:5" ht="15">
      <c r="A318" s="13">
        <v>51560</v>
      </c>
      <c r="B318" s="4">
        <f>22.9617 * CHOOSE(CONTROL!$C$6, $C$13, 100%, $E$13) + CHOOSE(CONTROL!$C$25, 0.0003, 0)</f>
        <v>22.962</v>
      </c>
      <c r="C318" s="4">
        <f>22.6492 * CHOOSE(CONTROL!$C$6, $C$13, 100%, $E$13) + CHOOSE(CONTROL!$C$25, 0.0003, 0)</f>
        <v>22.6495</v>
      </c>
      <c r="D318" s="4">
        <f>29.7938 * CHOOSE(CONTROL!$C$6, $C$13, 100%, $E$13) + CHOOSE(CONTROL!$C$25, 0, 0)</f>
        <v>29.793800000000001</v>
      </c>
      <c r="E318" s="4">
        <f>133.329805329909 * CHOOSE(CONTROL!$C$6, $C$13, 100%, $E$13) + CHOOSE(CONTROL!$C$25, 0, 0)</f>
        <v>133.32980532990899</v>
      </c>
    </row>
    <row r="319" spans="1:5" ht="15">
      <c r="A319" s="13">
        <v>51591</v>
      </c>
      <c r="B319" s="4">
        <f>24.246 * CHOOSE(CONTROL!$C$6, $C$13, 100%, $E$13) + CHOOSE(CONTROL!$C$25, 0.0003, 0)</f>
        <v>24.246299999999998</v>
      </c>
      <c r="C319" s="4">
        <f>23.9335 * CHOOSE(CONTROL!$C$6, $C$13, 100%, $E$13) + CHOOSE(CONTROL!$C$25, 0.0003, 0)</f>
        <v>23.933799999999998</v>
      </c>
      <c r="D319" s="4">
        <f>31.2982 * CHOOSE(CONTROL!$C$6, $C$13, 100%, $E$13) + CHOOSE(CONTROL!$C$25, 0, 0)</f>
        <v>31.298200000000001</v>
      </c>
      <c r="E319" s="4">
        <f>141.450481905138 * CHOOSE(CONTROL!$C$6, $C$13, 100%, $E$13) + CHOOSE(CONTROL!$C$25, 0, 0)</f>
        <v>141.45048190513799</v>
      </c>
    </row>
    <row r="320" spans="1:5" ht="15">
      <c r="A320" s="13">
        <v>51621</v>
      </c>
      <c r="B320" s="4">
        <f>25.1585 * CHOOSE(CONTROL!$C$6, $C$13, 100%, $E$13) + CHOOSE(CONTROL!$C$25, 0.0003, 0)</f>
        <v>25.158799999999999</v>
      </c>
      <c r="C320" s="4">
        <f>24.846 * CHOOSE(CONTROL!$C$6, $C$13, 100%, $E$13) + CHOOSE(CONTROL!$C$25, 0.0003, 0)</f>
        <v>24.846299999999999</v>
      </c>
      <c r="D320" s="4">
        <f>32.1648 * CHOOSE(CONTROL!$C$6, $C$13, 100%, $E$13) + CHOOSE(CONTROL!$C$25, 0, 0)</f>
        <v>32.1648</v>
      </c>
      <c r="E320" s="4">
        <f>147.220330834082 * CHOOSE(CONTROL!$C$6, $C$13, 100%, $E$13) + CHOOSE(CONTROL!$C$25, 0, 0)</f>
        <v>147.22033083408201</v>
      </c>
    </row>
    <row r="321" spans="1:5" ht="15">
      <c r="A321" s="13">
        <v>51652</v>
      </c>
      <c r="B321" s="4">
        <f>25.716 * CHOOSE(CONTROL!$C$6, $C$13, 100%, $E$13) + CHOOSE(CONTROL!$C$25, 0.0238, 0)</f>
        <v>25.739800000000002</v>
      </c>
      <c r="C321" s="4">
        <f>25.4035 * CHOOSE(CONTROL!$C$6, $C$13, 100%, $E$13) + CHOOSE(CONTROL!$C$25, 0.0238, 0)</f>
        <v>25.427300000000002</v>
      </c>
      <c r="D321" s="4">
        <f>31.8223 * CHOOSE(CONTROL!$C$6, $C$13, 100%, $E$13) + CHOOSE(CONTROL!$C$25, 0, 0)</f>
        <v>31.822299999999998</v>
      </c>
      <c r="E321" s="4">
        <f>150.745570245688 * CHOOSE(CONTROL!$C$6, $C$13, 100%, $E$13) + CHOOSE(CONTROL!$C$25, 0, 0)</f>
        <v>150.74557024568799</v>
      </c>
    </row>
    <row r="322" spans="1:5" ht="15">
      <c r="A322" s="13">
        <v>51682</v>
      </c>
      <c r="B322" s="4">
        <f>25.7915 * CHOOSE(CONTROL!$C$6, $C$13, 100%, $E$13) + CHOOSE(CONTROL!$C$25, 0.0238, 0)</f>
        <v>25.815300000000001</v>
      </c>
      <c r="C322" s="4">
        <f>25.479 * CHOOSE(CONTROL!$C$6, $C$13, 100%, $E$13) + CHOOSE(CONTROL!$C$25, 0.0238, 0)</f>
        <v>25.502800000000001</v>
      </c>
      <c r="D322" s="4">
        <f>32.1012 * CHOOSE(CONTROL!$C$6, $C$13, 100%, $E$13) + CHOOSE(CONTROL!$C$25, 0, 0)</f>
        <v>32.101199999999999</v>
      </c>
      <c r="E322" s="4">
        <f>151.222549768122 * CHOOSE(CONTROL!$C$6, $C$13, 100%, $E$13) + CHOOSE(CONTROL!$C$25, 0, 0)</f>
        <v>151.22254976812201</v>
      </c>
    </row>
    <row r="323" spans="1:5" ht="15">
      <c r="A323" s="13">
        <v>51713</v>
      </c>
      <c r="B323" s="4">
        <f>25.7839 * CHOOSE(CONTROL!$C$6, $C$13, 100%, $E$13) + CHOOSE(CONTROL!$C$25, 0.0238, 0)</f>
        <v>25.807700000000001</v>
      </c>
      <c r="C323" s="4">
        <f>25.4714 * CHOOSE(CONTROL!$C$6, $C$13, 100%, $E$13) + CHOOSE(CONTROL!$C$25, 0.0238, 0)</f>
        <v>25.495200000000001</v>
      </c>
      <c r="D323" s="4">
        <f>32.6044 * CHOOSE(CONTROL!$C$6, $C$13, 100%, $E$13) + CHOOSE(CONTROL!$C$25, 0, 0)</f>
        <v>32.604399999999998</v>
      </c>
      <c r="E323" s="4">
        <f>151.174450992751 * CHOOSE(CONTROL!$C$6, $C$13, 100%, $E$13) + CHOOSE(CONTROL!$C$25, 0, 0)</f>
        <v>151.17445099275099</v>
      </c>
    </row>
    <row r="324" spans="1:5" ht="15">
      <c r="A324" s="13">
        <v>51744</v>
      </c>
      <c r="B324" s="4">
        <f>26.3563 * CHOOSE(CONTROL!$C$6, $C$13, 100%, $E$13) + CHOOSE(CONTROL!$C$25, 0.0238, 0)</f>
        <v>26.380100000000002</v>
      </c>
      <c r="C324" s="4">
        <f>26.0438 * CHOOSE(CONTROL!$C$6, $C$13, 100%, $E$13) + CHOOSE(CONTROL!$C$25, 0.0238, 0)</f>
        <v>26.067600000000002</v>
      </c>
      <c r="D324" s="4">
        <f>32.2721 * CHOOSE(CONTROL!$C$6, $C$13, 100%, $E$13) + CHOOSE(CONTROL!$C$25, 0, 0)</f>
        <v>32.272100000000002</v>
      </c>
      <c r="E324" s="4">
        <f>154.793883839459 * CHOOSE(CONTROL!$C$6, $C$13, 100%, $E$13) + CHOOSE(CONTROL!$C$25, 0, 0)</f>
        <v>154.793883839459</v>
      </c>
    </row>
    <row r="325" spans="1:5" ht="15">
      <c r="A325" s="13">
        <v>51774</v>
      </c>
      <c r="B325" s="4">
        <f>25.3807 * CHOOSE(CONTROL!$C$6, $C$13, 100%, $E$13) + CHOOSE(CONTROL!$C$25, 0.0238, 0)</f>
        <v>25.404500000000002</v>
      </c>
      <c r="C325" s="4">
        <f>25.0682 * CHOOSE(CONTROL!$C$6, $C$13, 100%, $E$13) + CHOOSE(CONTROL!$C$25, 0.0238, 0)</f>
        <v>25.092000000000002</v>
      </c>
      <c r="D325" s="4">
        <f>32.1151 * CHOOSE(CONTROL!$C$6, $C$13, 100%, $E$13) + CHOOSE(CONTROL!$C$25, 0, 0)</f>
        <v>32.115099999999998</v>
      </c>
      <c r="E325" s="4">
        <f>148.625215898059 * CHOOSE(CONTROL!$C$6, $C$13, 100%, $E$13) + CHOOSE(CONTROL!$C$25, 0, 0)</f>
        <v>148.625215898059</v>
      </c>
    </row>
    <row r="326" spans="1:5" ht="15">
      <c r="A326" s="13">
        <v>51805</v>
      </c>
      <c r="B326" s="4">
        <f>24.5997 * CHOOSE(CONTROL!$C$6, $C$13, 100%, $E$13) + CHOOSE(CONTROL!$C$25, 0.0003, 0)</f>
        <v>24.599999999999998</v>
      </c>
      <c r="C326" s="4">
        <f>24.2872 * CHOOSE(CONTROL!$C$6, $C$13, 100%, $E$13) + CHOOSE(CONTROL!$C$25, 0.0003, 0)</f>
        <v>24.287499999999998</v>
      </c>
      <c r="D326" s="4">
        <f>31.6947 * CHOOSE(CONTROL!$C$6, $C$13, 100%, $E$13) + CHOOSE(CONTROL!$C$25, 0, 0)</f>
        <v>31.694700000000001</v>
      </c>
      <c r="E326" s="4">
        <f>143.687074959914 * CHOOSE(CONTROL!$C$6, $C$13, 100%, $E$13) + CHOOSE(CONTROL!$C$25, 0, 0)</f>
        <v>143.68707495991401</v>
      </c>
    </row>
    <row r="327" spans="1:5" ht="15">
      <c r="A327" s="13">
        <v>51835</v>
      </c>
      <c r="B327" s="4">
        <f>24.0967 * CHOOSE(CONTROL!$C$6, $C$13, 100%, $E$13) + CHOOSE(CONTROL!$C$25, 0.0003, 0)</f>
        <v>24.096999999999998</v>
      </c>
      <c r="C327" s="4">
        <f>23.7842 * CHOOSE(CONTROL!$C$6, $C$13, 100%, $E$13) + CHOOSE(CONTROL!$C$25, 0.0003, 0)</f>
        <v>23.784499999999998</v>
      </c>
      <c r="D327" s="4">
        <f>31.5501 * CHOOSE(CONTROL!$C$6, $C$13, 100%, $E$13) + CHOOSE(CONTROL!$C$25, 0, 0)</f>
        <v>31.5501</v>
      </c>
      <c r="E327" s="4">
        <f>140.506543438471 * CHOOSE(CONTROL!$C$6, $C$13, 100%, $E$13) + CHOOSE(CONTROL!$C$25, 0, 0)</f>
        <v>140.506543438471</v>
      </c>
    </row>
    <row r="328" spans="1:5" ht="15">
      <c r="A328" s="13">
        <v>51866</v>
      </c>
      <c r="B328" s="4">
        <f>23.7487 * CHOOSE(CONTROL!$C$6, $C$13, 100%, $E$13) + CHOOSE(CONTROL!$C$25, 0.0003, 0)</f>
        <v>23.748999999999999</v>
      </c>
      <c r="C328" s="4">
        <f>23.4362 * CHOOSE(CONTROL!$C$6, $C$13, 100%, $E$13) + CHOOSE(CONTROL!$C$25, 0.0003, 0)</f>
        <v>23.436499999999999</v>
      </c>
      <c r="D328" s="4">
        <f>30.486 * CHOOSE(CONTROL!$C$6, $C$13, 100%, $E$13) + CHOOSE(CONTROL!$C$25, 0, 0)</f>
        <v>30.486000000000001</v>
      </c>
      <c r="E328" s="4">
        <f>138.306024465223 * CHOOSE(CONTROL!$C$6, $C$13, 100%, $E$13) + CHOOSE(CONTROL!$C$25, 0, 0)</f>
        <v>138.306024465223</v>
      </c>
    </row>
    <row r="329" spans="1:5" ht="15">
      <c r="A329" s="13">
        <v>51897</v>
      </c>
      <c r="B329" s="4">
        <f>23.1832 * CHOOSE(CONTROL!$C$6, $C$13, 100%, $E$13) + CHOOSE(CONTROL!$C$25, 0.0003, 0)</f>
        <v>23.183499999999999</v>
      </c>
      <c r="C329" s="4">
        <f>22.8707 * CHOOSE(CONTROL!$C$6, $C$13, 100%, $E$13) + CHOOSE(CONTROL!$C$25, 0.0003, 0)</f>
        <v>22.870999999999999</v>
      </c>
      <c r="D329" s="4">
        <f>29.508 * CHOOSE(CONTROL!$C$6, $C$13, 100%, $E$13) + CHOOSE(CONTROL!$C$25, 0, 0)</f>
        <v>29.507999999999999</v>
      </c>
      <c r="E329" s="4">
        <f>134.339934725892 * CHOOSE(CONTROL!$C$6, $C$13, 100%, $E$13) + CHOOSE(CONTROL!$C$25, 0, 0)</f>
        <v>134.33993472589199</v>
      </c>
    </row>
    <row r="330" spans="1:5" ht="15">
      <c r="A330" s="13">
        <v>51925</v>
      </c>
      <c r="B330" s="4">
        <f>23.6891 * CHOOSE(CONTROL!$C$6, $C$13, 100%, $E$13) + CHOOSE(CONTROL!$C$25, 0.0003, 0)</f>
        <v>23.689399999999999</v>
      </c>
      <c r="C330" s="4">
        <f>23.3766 * CHOOSE(CONTROL!$C$6, $C$13, 100%, $E$13) + CHOOSE(CONTROL!$C$25, 0.0003, 0)</f>
        <v>23.376899999999999</v>
      </c>
      <c r="D330" s="4">
        <f>30.4929 * CHOOSE(CONTROL!$C$6, $C$13, 100%, $E$13) + CHOOSE(CONTROL!$C$25, 0, 0)</f>
        <v>30.492899999999999</v>
      </c>
      <c r="E330" s="4">
        <f>137.529694197801 * CHOOSE(CONTROL!$C$6, $C$13, 100%, $E$13) + CHOOSE(CONTROL!$C$25, 0, 0)</f>
        <v>137.52969419780101</v>
      </c>
    </row>
    <row r="331" spans="1:5" ht="15">
      <c r="A331" s="13">
        <v>51956</v>
      </c>
      <c r="B331" s="4">
        <f>25.0178 * CHOOSE(CONTROL!$C$6, $C$13, 100%, $E$13) + CHOOSE(CONTROL!$C$25, 0.0003, 0)</f>
        <v>25.0181</v>
      </c>
      <c r="C331" s="4">
        <f>24.7053 * CHOOSE(CONTROL!$C$6, $C$13, 100%, $E$13) + CHOOSE(CONTROL!$C$25, 0.0003, 0)</f>
        <v>24.7056</v>
      </c>
      <c r="D331" s="4">
        <f>32.0346 * CHOOSE(CONTROL!$C$6, $C$13, 100%, $E$13) + CHOOSE(CONTROL!$C$25, 0, 0)</f>
        <v>32.034599999999998</v>
      </c>
      <c r="E331" s="4">
        <f>145.906172085149 * CHOOSE(CONTROL!$C$6, $C$13, 100%, $E$13) + CHOOSE(CONTROL!$C$25, 0, 0)</f>
        <v>145.906172085149</v>
      </c>
    </row>
    <row r="332" spans="1:5" ht="15">
      <c r="A332" s="13">
        <v>51986</v>
      </c>
      <c r="B332" s="4">
        <f>25.9618 * CHOOSE(CONTROL!$C$6, $C$13, 100%, $E$13) + CHOOSE(CONTROL!$C$25, 0.0003, 0)</f>
        <v>25.9621</v>
      </c>
      <c r="C332" s="4">
        <f>25.6493 * CHOOSE(CONTROL!$C$6, $C$13, 100%, $E$13) + CHOOSE(CONTROL!$C$25, 0.0003, 0)</f>
        <v>25.6496</v>
      </c>
      <c r="D332" s="4">
        <f>32.9227 * CHOOSE(CONTROL!$C$6, $C$13, 100%, $E$13) + CHOOSE(CONTROL!$C$25, 0, 0)</f>
        <v>32.922699999999999</v>
      </c>
      <c r="E332" s="4">
        <f>151.857771255356 * CHOOSE(CONTROL!$C$6, $C$13, 100%, $E$13) + CHOOSE(CONTROL!$C$25, 0, 0)</f>
        <v>151.857771255356</v>
      </c>
    </row>
    <row r="333" spans="1:5" ht="15">
      <c r="A333" s="13">
        <v>52017</v>
      </c>
      <c r="B333" s="4">
        <f>26.5385 * CHOOSE(CONTROL!$C$6, $C$13, 100%, $E$13) + CHOOSE(CONTROL!$C$25, 0.0238, 0)</f>
        <v>26.5623</v>
      </c>
      <c r="C333" s="4">
        <f>26.226 * CHOOSE(CONTROL!$C$6, $C$13, 100%, $E$13) + CHOOSE(CONTROL!$C$25, 0.0238, 0)</f>
        <v>26.2498</v>
      </c>
      <c r="D333" s="4">
        <f>32.5718 * CHOOSE(CONTROL!$C$6, $C$13, 100%, $E$13) + CHOOSE(CONTROL!$C$25, 0, 0)</f>
        <v>32.571800000000003</v>
      </c>
      <c r="E333" s="4">
        <f>155.494055708427 * CHOOSE(CONTROL!$C$6, $C$13, 100%, $E$13) + CHOOSE(CONTROL!$C$25, 0, 0)</f>
        <v>155.494055708427</v>
      </c>
    </row>
    <row r="334" spans="1:5" ht="15">
      <c r="A334" s="13">
        <v>52047</v>
      </c>
      <c r="B334" s="4">
        <f>26.6166 * CHOOSE(CONTROL!$C$6, $C$13, 100%, $E$13) + CHOOSE(CONTROL!$C$25, 0.0238, 0)</f>
        <v>26.6404</v>
      </c>
      <c r="C334" s="4">
        <f>26.3041 * CHOOSE(CONTROL!$C$6, $C$13, 100%, $E$13) + CHOOSE(CONTROL!$C$25, 0.0238, 0)</f>
        <v>26.3279</v>
      </c>
      <c r="D334" s="4">
        <f>32.8576 * CHOOSE(CONTROL!$C$6, $C$13, 100%, $E$13) + CHOOSE(CONTROL!$C$25, 0, 0)</f>
        <v>32.857599999999998</v>
      </c>
      <c r="E334" s="4">
        <f>155.986060085818 * CHOOSE(CONTROL!$C$6, $C$13, 100%, $E$13) + CHOOSE(CONTROL!$C$25, 0, 0)</f>
        <v>155.986060085818</v>
      </c>
    </row>
    <row r="335" spans="1:5" ht="15">
      <c r="A335" s="13">
        <v>52078</v>
      </c>
      <c r="B335" s="4">
        <f>26.6087 * CHOOSE(CONTROL!$C$6, $C$13, 100%, $E$13) + CHOOSE(CONTROL!$C$25, 0.0238, 0)</f>
        <v>26.6325</v>
      </c>
      <c r="C335" s="4">
        <f>26.2962 * CHOOSE(CONTROL!$C$6, $C$13, 100%, $E$13) + CHOOSE(CONTROL!$C$25, 0.0238, 0)</f>
        <v>26.32</v>
      </c>
      <c r="D335" s="4">
        <f>33.3733 * CHOOSE(CONTROL!$C$6, $C$13, 100%, $E$13) + CHOOSE(CONTROL!$C$25, 0, 0)</f>
        <v>33.3733</v>
      </c>
      <c r="E335" s="4">
        <f>155.936446199022 * CHOOSE(CONTROL!$C$6, $C$13, 100%, $E$13) + CHOOSE(CONTROL!$C$25, 0, 0)</f>
        <v>155.93644619902199</v>
      </c>
    </row>
    <row r="336" spans="1:5" ht="15">
      <c r="A336" s="13">
        <v>52109</v>
      </c>
      <c r="B336" s="4">
        <f>27.2009 * CHOOSE(CONTROL!$C$6, $C$13, 100%, $E$13) + CHOOSE(CONTROL!$C$25, 0.0238, 0)</f>
        <v>27.224700000000002</v>
      </c>
      <c r="C336" s="4">
        <f>26.8884 * CHOOSE(CONTROL!$C$6, $C$13, 100%, $E$13) + CHOOSE(CONTROL!$C$25, 0.0238, 0)</f>
        <v>26.912200000000002</v>
      </c>
      <c r="D336" s="4">
        <f>33.0327 * CHOOSE(CONTROL!$C$6, $C$13, 100%, $E$13) + CHOOSE(CONTROL!$C$25, 0, 0)</f>
        <v>33.032699999999998</v>
      </c>
      <c r="E336" s="4">
        <f>159.669891180402 * CHOOSE(CONTROL!$C$6, $C$13, 100%, $E$13) + CHOOSE(CONTROL!$C$25, 0, 0)</f>
        <v>159.669891180402</v>
      </c>
    </row>
    <row r="337" spans="1:5" ht="15">
      <c r="A337" s="13">
        <v>52139</v>
      </c>
      <c r="B337" s="4">
        <f>26.1916 * CHOOSE(CONTROL!$C$6, $C$13, 100%, $E$13) + CHOOSE(CONTROL!$C$25, 0.0238, 0)</f>
        <v>26.215400000000002</v>
      </c>
      <c r="C337" s="4">
        <f>25.8791 * CHOOSE(CONTROL!$C$6, $C$13, 100%, $E$13) + CHOOSE(CONTROL!$C$25, 0.0238, 0)</f>
        <v>25.902900000000002</v>
      </c>
      <c r="D337" s="4">
        <f>32.8718 * CHOOSE(CONTROL!$C$6, $C$13, 100%, $E$13) + CHOOSE(CONTROL!$C$25, 0, 0)</f>
        <v>32.8718</v>
      </c>
      <c r="E337" s="4">
        <f>153.306910198848 * CHOOSE(CONTROL!$C$6, $C$13, 100%, $E$13) + CHOOSE(CONTROL!$C$25, 0, 0)</f>
        <v>153.30691019884799</v>
      </c>
    </row>
    <row r="338" spans="1:5" ht="15">
      <c r="A338" s="13">
        <v>52170</v>
      </c>
      <c r="B338" s="4">
        <f>25.3837 * CHOOSE(CONTROL!$C$6, $C$13, 100%, $E$13) + CHOOSE(CONTROL!$C$25, 0.0003, 0)</f>
        <v>25.384</v>
      </c>
      <c r="C338" s="4">
        <f>25.0712 * CHOOSE(CONTROL!$C$6, $C$13, 100%, $E$13) + CHOOSE(CONTROL!$C$25, 0.0003, 0)</f>
        <v>25.0715</v>
      </c>
      <c r="D338" s="4">
        <f>32.4409 * CHOOSE(CONTROL!$C$6, $C$13, 100%, $E$13) + CHOOSE(CONTROL!$C$25, 0, 0)</f>
        <v>32.440899999999999</v>
      </c>
      <c r="E338" s="4">
        <f>148.213217821152 * CHOOSE(CONTROL!$C$6, $C$13, 100%, $E$13) + CHOOSE(CONTROL!$C$25, 0, 0)</f>
        <v>148.213217821152</v>
      </c>
    </row>
    <row r="339" spans="1:5" ht="15">
      <c r="A339" s="13">
        <v>52200</v>
      </c>
      <c r="B339" s="4">
        <f>24.8633 * CHOOSE(CONTROL!$C$6, $C$13, 100%, $E$13) + CHOOSE(CONTROL!$C$25, 0.0003, 0)</f>
        <v>24.863599999999998</v>
      </c>
      <c r="C339" s="4">
        <f>24.5508 * CHOOSE(CONTROL!$C$6, $C$13, 100%, $E$13) + CHOOSE(CONTROL!$C$25, 0.0003, 0)</f>
        <v>24.551099999999998</v>
      </c>
      <c r="D339" s="4">
        <f>32.2928 * CHOOSE(CONTROL!$C$6, $C$13, 100%, $E$13) + CHOOSE(CONTROL!$C$25, 0, 0)</f>
        <v>32.2928</v>
      </c>
      <c r="E339" s="4">
        <f>144.932499556783 * CHOOSE(CONTROL!$C$6, $C$13, 100%, $E$13) + CHOOSE(CONTROL!$C$25, 0, 0)</f>
        <v>144.932499556783</v>
      </c>
    </row>
    <row r="340" spans="1:5" ht="15">
      <c r="A340" s="13">
        <v>52231</v>
      </c>
      <c r="B340" s="4">
        <f>24.5033 * CHOOSE(CONTROL!$C$6, $C$13, 100%, $E$13) + CHOOSE(CONTROL!$C$25, 0.0003, 0)</f>
        <v>24.503599999999999</v>
      </c>
      <c r="C340" s="4">
        <f>24.1908 * CHOOSE(CONTROL!$C$6, $C$13, 100%, $E$13) + CHOOSE(CONTROL!$C$25, 0.0003, 0)</f>
        <v>24.191099999999999</v>
      </c>
      <c r="D340" s="4">
        <f>31.2023 * CHOOSE(CONTROL!$C$6, $C$13, 100%, $E$13) + CHOOSE(CONTROL!$C$25, 0, 0)</f>
        <v>31.202300000000001</v>
      </c>
      <c r="E340" s="4">
        <f>142.662664235878 * CHOOSE(CONTROL!$C$6, $C$13, 100%, $E$13) + CHOOSE(CONTROL!$C$25, 0, 0)</f>
        <v>142.662664235878</v>
      </c>
    </row>
    <row r="341" spans="1:5" ht="15">
      <c r="A341" s="13">
        <v>52262</v>
      </c>
      <c r="B341" s="4">
        <f>23.9183 * CHOOSE(CONTROL!$C$6, $C$13, 100%, $E$13) + CHOOSE(CONTROL!$C$25, 0.0003, 0)</f>
        <v>23.918599999999998</v>
      </c>
      <c r="C341" s="4">
        <f>23.6058 * CHOOSE(CONTROL!$C$6, $C$13, 100%, $E$13) + CHOOSE(CONTROL!$C$25, 0.0003, 0)</f>
        <v>23.606099999999998</v>
      </c>
      <c r="D341" s="4">
        <f>30.2 * CHOOSE(CONTROL!$C$6, $C$13, 100%, $E$13) + CHOOSE(CONTROL!$C$25, 0, 0)</f>
        <v>30.2</v>
      </c>
      <c r="E341" s="4">
        <f>138.571642669757 * CHOOSE(CONTROL!$C$6, $C$13, 100%, $E$13) + CHOOSE(CONTROL!$C$25, 0, 0)</f>
        <v>138.57164266975701</v>
      </c>
    </row>
    <row r="342" spans="1:5" ht="15">
      <c r="A342" s="13">
        <v>52290</v>
      </c>
      <c r="B342" s="4">
        <f>24.4417 * CHOOSE(CONTROL!$C$6, $C$13, 100%, $E$13) + CHOOSE(CONTROL!$C$25, 0.0003, 0)</f>
        <v>24.442</v>
      </c>
      <c r="C342" s="4">
        <f>24.1292 * CHOOSE(CONTROL!$C$6, $C$13, 100%, $E$13) + CHOOSE(CONTROL!$C$25, 0.0003, 0)</f>
        <v>24.1295</v>
      </c>
      <c r="D342" s="4">
        <f>31.2093 * CHOOSE(CONTROL!$C$6, $C$13, 100%, $E$13) + CHOOSE(CONTROL!$C$25, 0, 0)</f>
        <v>31.209299999999999</v>
      </c>
      <c r="E342" s="4">
        <f>141.861879565032 * CHOOSE(CONTROL!$C$6, $C$13, 100%, $E$13) + CHOOSE(CONTROL!$C$25, 0, 0)</f>
        <v>141.86187956503201</v>
      </c>
    </row>
    <row r="343" spans="1:5" ht="15">
      <c r="A343" s="13">
        <v>52321</v>
      </c>
      <c r="B343" s="4">
        <f>25.8162 * CHOOSE(CONTROL!$C$6, $C$13, 100%, $E$13) + CHOOSE(CONTROL!$C$25, 0.0003, 0)</f>
        <v>25.816499999999998</v>
      </c>
      <c r="C343" s="4">
        <f>25.5037 * CHOOSE(CONTROL!$C$6, $C$13, 100%, $E$13) + CHOOSE(CONTROL!$C$25, 0.0003, 0)</f>
        <v>25.503999999999998</v>
      </c>
      <c r="D343" s="4">
        <f>32.7893 * CHOOSE(CONTROL!$C$6, $C$13, 100%, $E$13) + CHOOSE(CONTROL!$C$25, 0, 0)</f>
        <v>32.789299999999997</v>
      </c>
      <c r="E343" s="4">
        <f>150.502216505832 * CHOOSE(CONTROL!$C$6, $C$13, 100%, $E$13) + CHOOSE(CONTROL!$C$25, 0, 0)</f>
        <v>150.502216505832</v>
      </c>
    </row>
    <row r="344" spans="1:5" ht="15">
      <c r="A344" s="13">
        <v>52351</v>
      </c>
      <c r="B344" s="4">
        <f>26.7928 * CHOOSE(CONTROL!$C$6, $C$13, 100%, $E$13) + CHOOSE(CONTROL!$C$25, 0.0003, 0)</f>
        <v>26.793099999999999</v>
      </c>
      <c r="C344" s="4">
        <f>26.4803 * CHOOSE(CONTROL!$C$6, $C$13, 100%, $E$13) + CHOOSE(CONTROL!$C$25, 0.0003, 0)</f>
        <v>26.480599999999999</v>
      </c>
      <c r="D344" s="4">
        <f>33.6994 * CHOOSE(CONTROL!$C$6, $C$13, 100%, $E$13) + CHOOSE(CONTROL!$C$25, 0, 0)</f>
        <v>33.699399999999997</v>
      </c>
      <c r="E344" s="4">
        <f>156.641291049899 * CHOOSE(CONTROL!$C$6, $C$13, 100%, $E$13) + CHOOSE(CONTROL!$C$25, 0, 0)</f>
        <v>156.641291049899</v>
      </c>
    </row>
    <row r="345" spans="1:5" ht="15">
      <c r="A345" s="13">
        <v>52382</v>
      </c>
      <c r="B345" s="4">
        <f>27.3894 * CHOOSE(CONTROL!$C$6, $C$13, 100%, $E$13) + CHOOSE(CONTROL!$C$25, 0.0238, 0)</f>
        <v>27.4132</v>
      </c>
      <c r="C345" s="4">
        <f>27.0769 * CHOOSE(CONTROL!$C$6, $C$13, 100%, $E$13) + CHOOSE(CONTROL!$C$25, 0.0238, 0)</f>
        <v>27.1007</v>
      </c>
      <c r="D345" s="4">
        <f>33.3398 * CHOOSE(CONTROL!$C$6, $C$13, 100%, $E$13) + CHOOSE(CONTROL!$C$25, 0, 0)</f>
        <v>33.339799999999997</v>
      </c>
      <c r="E345" s="4">
        <f>160.392118463242 * CHOOSE(CONTROL!$C$6, $C$13, 100%, $E$13) + CHOOSE(CONTROL!$C$25, 0, 0)</f>
        <v>160.39211846324201</v>
      </c>
    </row>
    <row r="346" spans="1:5" ht="15">
      <c r="A346" s="13">
        <v>52412</v>
      </c>
      <c r="B346" s="4">
        <f>27.4702 * CHOOSE(CONTROL!$C$6, $C$13, 100%, $E$13) + CHOOSE(CONTROL!$C$25, 0.0238, 0)</f>
        <v>27.494</v>
      </c>
      <c r="C346" s="4">
        <f>27.1577 * CHOOSE(CONTROL!$C$6, $C$13, 100%, $E$13) + CHOOSE(CONTROL!$C$25, 0.0238, 0)</f>
        <v>27.1815</v>
      </c>
      <c r="D346" s="4">
        <f>33.6327 * CHOOSE(CONTROL!$C$6, $C$13, 100%, $E$13) + CHOOSE(CONTROL!$C$25, 0, 0)</f>
        <v>33.6327</v>
      </c>
      <c r="E346" s="4">
        <f>160.899620978521 * CHOOSE(CONTROL!$C$6, $C$13, 100%, $E$13) + CHOOSE(CONTROL!$C$25, 0, 0)</f>
        <v>160.899620978521</v>
      </c>
    </row>
    <row r="347" spans="1:5" ht="15">
      <c r="A347" s="13">
        <v>52443</v>
      </c>
      <c r="B347" s="4">
        <f>27.462 * CHOOSE(CONTROL!$C$6, $C$13, 100%, $E$13) + CHOOSE(CONTROL!$C$25, 0.0238, 0)</f>
        <v>27.485800000000001</v>
      </c>
      <c r="C347" s="4">
        <f>27.1495 * CHOOSE(CONTROL!$C$6, $C$13, 100%, $E$13) + CHOOSE(CONTROL!$C$25, 0.0238, 0)</f>
        <v>27.173300000000001</v>
      </c>
      <c r="D347" s="4">
        <f>34.1612 * CHOOSE(CONTROL!$C$6, $C$13, 100%, $E$13) + CHOOSE(CONTROL!$C$25, 0, 0)</f>
        <v>34.161200000000001</v>
      </c>
      <c r="E347" s="4">
        <f>160.848444254292 * CHOOSE(CONTROL!$C$6, $C$13, 100%, $E$13) + CHOOSE(CONTROL!$C$25, 0, 0)</f>
        <v>160.84844425429199</v>
      </c>
    </row>
    <row r="348" spans="1:5" ht="15">
      <c r="A348" s="13">
        <v>52474</v>
      </c>
      <c r="B348" s="4">
        <f>28.0746 * CHOOSE(CONTROL!$C$6, $C$13, 100%, $E$13) + CHOOSE(CONTROL!$C$25, 0.0238, 0)</f>
        <v>28.098400000000002</v>
      </c>
      <c r="C348" s="4">
        <f>27.7621 * CHOOSE(CONTROL!$C$6, $C$13, 100%, $E$13) + CHOOSE(CONTROL!$C$25, 0.0238, 0)</f>
        <v>27.785900000000002</v>
      </c>
      <c r="D348" s="4">
        <f>33.8122 * CHOOSE(CONTROL!$C$6, $C$13, 100%, $E$13) + CHOOSE(CONTROL!$C$25, 0, 0)</f>
        <v>33.812199999999997</v>
      </c>
      <c r="E348" s="4">
        <f>164.699492752585 * CHOOSE(CONTROL!$C$6, $C$13, 100%, $E$13) + CHOOSE(CONTROL!$C$25, 0, 0)</f>
        <v>164.699492752585</v>
      </c>
    </row>
    <row r="349" spans="1:5" ht="15">
      <c r="A349" s="13">
        <v>52504</v>
      </c>
      <c r="B349" s="4">
        <f>27.0306 * CHOOSE(CONTROL!$C$6, $C$13, 100%, $E$13) + CHOOSE(CONTROL!$C$25, 0.0238, 0)</f>
        <v>27.054400000000001</v>
      </c>
      <c r="C349" s="4">
        <f>26.7181 * CHOOSE(CONTROL!$C$6, $C$13, 100%, $E$13) + CHOOSE(CONTROL!$C$25, 0.0238, 0)</f>
        <v>26.741900000000001</v>
      </c>
      <c r="D349" s="4">
        <f>33.6473 * CHOOSE(CONTROL!$C$6, $C$13, 100%, $E$13) + CHOOSE(CONTROL!$C$25, 0, 0)</f>
        <v>33.647300000000001</v>
      </c>
      <c r="E349" s="4">
        <f>158.136077870112 * CHOOSE(CONTROL!$C$6, $C$13, 100%, $E$13) + CHOOSE(CONTROL!$C$25, 0, 0)</f>
        <v>158.13607787011199</v>
      </c>
    </row>
    <row r="350" spans="1:5" ht="15">
      <c r="A350" s="13">
        <v>52535</v>
      </c>
      <c r="B350" s="4">
        <f>26.1947 * CHOOSE(CONTROL!$C$6, $C$13, 100%, $E$13) + CHOOSE(CONTROL!$C$25, 0.0003, 0)</f>
        <v>26.195</v>
      </c>
      <c r="C350" s="4">
        <f>25.8822 * CHOOSE(CONTROL!$C$6, $C$13, 100%, $E$13) + CHOOSE(CONTROL!$C$25, 0.0003, 0)</f>
        <v>25.8825</v>
      </c>
      <c r="D350" s="4">
        <f>33.2057 * CHOOSE(CONTROL!$C$6, $C$13, 100%, $E$13) + CHOOSE(CONTROL!$C$25, 0, 0)</f>
        <v>33.2057</v>
      </c>
      <c r="E350" s="4">
        <f>152.881934182518 * CHOOSE(CONTROL!$C$6, $C$13, 100%, $E$13) + CHOOSE(CONTROL!$C$25, 0, 0)</f>
        <v>152.88193418251799</v>
      </c>
    </row>
    <row r="351" spans="1:5" ht="15">
      <c r="A351" s="13">
        <v>52565</v>
      </c>
      <c r="B351" s="4">
        <f>25.6564 * CHOOSE(CONTROL!$C$6, $C$13, 100%, $E$13) + CHOOSE(CONTROL!$C$25, 0.0003, 0)</f>
        <v>25.656700000000001</v>
      </c>
      <c r="C351" s="4">
        <f>25.3439 * CHOOSE(CONTROL!$C$6, $C$13, 100%, $E$13) + CHOOSE(CONTROL!$C$25, 0.0003, 0)</f>
        <v>25.344200000000001</v>
      </c>
      <c r="D351" s="4">
        <f>33.0539 * CHOOSE(CONTROL!$C$6, $C$13, 100%, $E$13) + CHOOSE(CONTROL!$C$25, 0, 0)</f>
        <v>33.053899999999999</v>
      </c>
      <c r="E351" s="4">
        <f>149.497873292822 * CHOOSE(CONTROL!$C$6, $C$13, 100%, $E$13) + CHOOSE(CONTROL!$C$25, 0, 0)</f>
        <v>149.49787329282199</v>
      </c>
    </row>
    <row r="352" spans="1:5" ht="15">
      <c r="A352" s="13">
        <v>52596</v>
      </c>
      <c r="B352" s="4">
        <f>25.284 * CHOOSE(CONTROL!$C$6, $C$13, 100%, $E$13) + CHOOSE(CONTROL!$C$25, 0.0003, 0)</f>
        <v>25.284299999999998</v>
      </c>
      <c r="C352" s="4">
        <f>24.9715 * CHOOSE(CONTROL!$C$6, $C$13, 100%, $E$13) + CHOOSE(CONTROL!$C$25, 0.0003, 0)</f>
        <v>24.971799999999998</v>
      </c>
      <c r="D352" s="4">
        <f>31.9364 * CHOOSE(CONTROL!$C$6, $C$13, 100%, $E$13) + CHOOSE(CONTROL!$C$25, 0, 0)</f>
        <v>31.936399999999999</v>
      </c>
      <c r="E352" s="4">
        <f>147.156538159308 * CHOOSE(CONTROL!$C$6, $C$13, 100%, $E$13) + CHOOSE(CONTROL!$C$25, 0, 0)</f>
        <v>147.15653815930801</v>
      </c>
    </row>
    <row r="353" spans="1:5" ht="15">
      <c r="A353" s="13">
        <v>52627</v>
      </c>
      <c r="B353" s="4">
        <f>24.6788 * CHOOSE(CONTROL!$C$6, $C$13, 100%, $E$13) + CHOOSE(CONTROL!$C$25, 0.0003, 0)</f>
        <v>24.679099999999998</v>
      </c>
      <c r="C353" s="4">
        <f>24.3663 * CHOOSE(CONTROL!$C$6, $C$13, 100%, $E$13) + CHOOSE(CONTROL!$C$25, 0.0003, 0)</f>
        <v>24.366599999999998</v>
      </c>
      <c r="D353" s="4">
        <f>30.9092 * CHOOSE(CONTROL!$C$6, $C$13, 100%, $E$13) + CHOOSE(CONTROL!$C$25, 0, 0)</f>
        <v>30.909199999999998</v>
      </c>
      <c r="E353" s="4">
        <f>142.936649413855 * CHOOSE(CONTROL!$C$6, $C$13, 100%, $E$13) + CHOOSE(CONTROL!$C$25, 0, 0)</f>
        <v>142.93664941385501</v>
      </c>
    </row>
    <row r="354" spans="1:5" ht="15">
      <c r="A354" s="13">
        <v>52655</v>
      </c>
      <c r="B354" s="4">
        <f>25.2203 * CHOOSE(CONTROL!$C$6, $C$13, 100%, $E$13) + CHOOSE(CONTROL!$C$25, 0.0003, 0)</f>
        <v>25.220600000000001</v>
      </c>
      <c r="C354" s="4">
        <f>24.9078 * CHOOSE(CONTROL!$C$6, $C$13, 100%, $E$13) + CHOOSE(CONTROL!$C$25, 0.0003, 0)</f>
        <v>24.908100000000001</v>
      </c>
      <c r="D354" s="4">
        <f>31.9436 * CHOOSE(CONTROL!$C$6, $C$13, 100%, $E$13) + CHOOSE(CONTROL!$C$25, 0, 0)</f>
        <v>31.9436</v>
      </c>
      <c r="E354" s="4">
        <f>146.330528771331 * CHOOSE(CONTROL!$C$6, $C$13, 100%, $E$13) + CHOOSE(CONTROL!$C$25, 0, 0)</f>
        <v>146.33052877133099</v>
      </c>
    </row>
    <row r="355" spans="1:5" ht="15">
      <c r="A355" s="13">
        <v>52687</v>
      </c>
      <c r="B355" s="4">
        <f>26.6422 * CHOOSE(CONTROL!$C$6, $C$13, 100%, $E$13) + CHOOSE(CONTROL!$C$25, 0.0003, 0)</f>
        <v>26.642499999999998</v>
      </c>
      <c r="C355" s="4">
        <f>26.3297 * CHOOSE(CONTROL!$C$6, $C$13, 100%, $E$13) + CHOOSE(CONTROL!$C$25, 0.0003, 0)</f>
        <v>26.33</v>
      </c>
      <c r="D355" s="4">
        <f>33.5627 * CHOOSE(CONTROL!$C$6, $C$13, 100%, $E$13) + CHOOSE(CONTROL!$C$25, 0, 0)</f>
        <v>33.5627</v>
      </c>
      <c r="E355" s="4">
        <f>155.243036325765 * CHOOSE(CONTROL!$C$6, $C$13, 100%, $E$13) + CHOOSE(CONTROL!$C$25, 0, 0)</f>
        <v>155.24303632576499</v>
      </c>
    </row>
    <row r="356" spans="1:5" ht="15">
      <c r="A356" s="13">
        <v>52717</v>
      </c>
      <c r="B356" s="4">
        <f>27.6524 * CHOOSE(CONTROL!$C$6, $C$13, 100%, $E$13) + CHOOSE(CONTROL!$C$25, 0.0003, 0)</f>
        <v>27.652699999999999</v>
      </c>
      <c r="C356" s="4">
        <f>27.3399 * CHOOSE(CONTROL!$C$6, $C$13, 100%, $E$13) + CHOOSE(CONTROL!$C$25, 0.0003, 0)</f>
        <v>27.340199999999999</v>
      </c>
      <c r="D356" s="4">
        <f>34.4954 * CHOOSE(CONTROL!$C$6, $C$13, 100%, $E$13) + CHOOSE(CONTROL!$C$25, 0, 0)</f>
        <v>34.495399999999997</v>
      </c>
      <c r="E356" s="4">
        <f>161.575491717971 * CHOOSE(CONTROL!$C$6, $C$13, 100%, $E$13) + CHOOSE(CONTROL!$C$25, 0, 0)</f>
        <v>161.575491717971</v>
      </c>
    </row>
    <row r="357" spans="1:5" ht="15">
      <c r="A357" s="13">
        <v>52748</v>
      </c>
      <c r="B357" s="4">
        <f>28.2697 * CHOOSE(CONTROL!$C$6, $C$13, 100%, $E$13) + CHOOSE(CONTROL!$C$25, 0.0238, 0)</f>
        <v>28.293500000000002</v>
      </c>
      <c r="C357" s="4">
        <f>27.9572 * CHOOSE(CONTROL!$C$6, $C$13, 100%, $E$13) + CHOOSE(CONTROL!$C$25, 0.0238, 0)</f>
        <v>27.981000000000002</v>
      </c>
      <c r="D357" s="4">
        <f>34.1269 * CHOOSE(CONTROL!$C$6, $C$13, 100%, $E$13) + CHOOSE(CONTROL!$C$25, 0, 0)</f>
        <v>34.126899999999999</v>
      </c>
      <c r="E357" s="4">
        <f>165.444470194835 * CHOOSE(CONTROL!$C$6, $C$13, 100%, $E$13) + CHOOSE(CONTROL!$C$25, 0, 0)</f>
        <v>165.44447019483499</v>
      </c>
    </row>
    <row r="358" spans="1:5" ht="15">
      <c r="A358" s="13">
        <v>52778</v>
      </c>
      <c r="B358" s="4">
        <f>28.3532 * CHOOSE(CONTROL!$C$6, $C$13, 100%, $E$13) + CHOOSE(CONTROL!$C$25, 0.0238, 0)</f>
        <v>28.377000000000002</v>
      </c>
      <c r="C358" s="4">
        <f>28.0407 * CHOOSE(CONTROL!$C$6, $C$13, 100%, $E$13) + CHOOSE(CONTROL!$C$25, 0.0238, 0)</f>
        <v>28.064500000000002</v>
      </c>
      <c r="D358" s="4">
        <f>34.427 * CHOOSE(CONTROL!$C$6, $C$13, 100%, $E$13) + CHOOSE(CONTROL!$C$25, 0, 0)</f>
        <v>34.427</v>
      </c>
      <c r="E358" s="4">
        <f>165.967959039345 * CHOOSE(CONTROL!$C$6, $C$13, 100%, $E$13) + CHOOSE(CONTROL!$C$25, 0, 0)</f>
        <v>165.967959039345</v>
      </c>
    </row>
    <row r="359" spans="1:5" ht="15">
      <c r="A359" s="13">
        <v>52809</v>
      </c>
      <c r="B359" s="4">
        <f>28.3448 * CHOOSE(CONTROL!$C$6, $C$13, 100%, $E$13) + CHOOSE(CONTROL!$C$25, 0.0238, 0)</f>
        <v>28.368600000000001</v>
      </c>
      <c r="C359" s="4">
        <f>28.0323 * CHOOSE(CONTROL!$C$6, $C$13, 100%, $E$13) + CHOOSE(CONTROL!$C$25, 0.0238, 0)</f>
        <v>28.056100000000001</v>
      </c>
      <c r="D359" s="4">
        <f>34.9686 * CHOOSE(CONTROL!$C$6, $C$13, 100%, $E$13) + CHOOSE(CONTROL!$C$25, 0, 0)</f>
        <v>34.968600000000002</v>
      </c>
      <c r="E359" s="4">
        <f>165.915170248302 * CHOOSE(CONTROL!$C$6, $C$13, 100%, $E$13) + CHOOSE(CONTROL!$C$25, 0, 0)</f>
        <v>165.91517024830199</v>
      </c>
    </row>
    <row r="360" spans="1:5" ht="15">
      <c r="A360" s="13">
        <v>52840</v>
      </c>
      <c r="B360" s="4">
        <f>28.9785 * CHOOSE(CONTROL!$C$6, $C$13, 100%, $E$13) + CHOOSE(CONTROL!$C$25, 0.0238, 0)</f>
        <v>29.002300000000002</v>
      </c>
      <c r="C360" s="4">
        <f>28.666 * CHOOSE(CONTROL!$C$6, $C$13, 100%, $E$13) + CHOOSE(CONTROL!$C$25, 0.0238, 0)</f>
        <v>28.689800000000002</v>
      </c>
      <c r="D360" s="4">
        <f>34.6109 * CHOOSE(CONTROL!$C$6, $C$13, 100%, $E$13) + CHOOSE(CONTROL!$C$25, 0, 0)</f>
        <v>34.610900000000001</v>
      </c>
      <c r="E360" s="4">
        <f>169.887526774291 * CHOOSE(CONTROL!$C$6, $C$13, 100%, $E$13) + CHOOSE(CONTROL!$C$25, 0, 0)</f>
        <v>169.88752677429099</v>
      </c>
    </row>
    <row r="361" spans="1:5" ht="15">
      <c r="A361" s="13">
        <v>52870</v>
      </c>
      <c r="B361" s="4">
        <f>27.8984 * CHOOSE(CONTROL!$C$6, $C$13, 100%, $E$13) + CHOOSE(CONTROL!$C$25, 0.0238, 0)</f>
        <v>27.9222</v>
      </c>
      <c r="C361" s="4">
        <f>27.5859 * CHOOSE(CONTROL!$C$6, $C$13, 100%, $E$13) + CHOOSE(CONTROL!$C$25, 0.0238, 0)</f>
        <v>27.6097</v>
      </c>
      <c r="D361" s="4">
        <f>34.4419 * CHOOSE(CONTROL!$C$6, $C$13, 100%, $E$13) + CHOOSE(CONTROL!$C$25, 0, 0)</f>
        <v>34.441899999999997</v>
      </c>
      <c r="E361" s="4">
        <f>163.11736432302 * CHOOSE(CONTROL!$C$6, $C$13, 100%, $E$13) + CHOOSE(CONTROL!$C$25, 0, 0)</f>
        <v>163.11736432302001</v>
      </c>
    </row>
    <row r="362" spans="1:5" ht="15">
      <c r="A362" s="13">
        <v>52901</v>
      </c>
      <c r="B362" s="4">
        <f>27.0338 * CHOOSE(CONTROL!$C$6, $C$13, 100%, $E$13) + CHOOSE(CONTROL!$C$25, 0.0003, 0)</f>
        <v>27.034099999999999</v>
      </c>
      <c r="C362" s="4">
        <f>26.7213 * CHOOSE(CONTROL!$C$6, $C$13, 100%, $E$13) + CHOOSE(CONTROL!$C$25, 0.0003, 0)</f>
        <v>26.721599999999999</v>
      </c>
      <c r="D362" s="4">
        <f>33.9895 * CHOOSE(CONTROL!$C$6, $C$13, 100%, $E$13) + CHOOSE(CONTROL!$C$25, 0, 0)</f>
        <v>33.9895</v>
      </c>
      <c r="E362" s="4">
        <f>157.697715109267 * CHOOSE(CONTROL!$C$6, $C$13, 100%, $E$13) + CHOOSE(CONTROL!$C$25, 0, 0)</f>
        <v>157.69771510926699</v>
      </c>
    </row>
    <row r="363" spans="1:5" ht="15">
      <c r="A363" s="13">
        <v>52931</v>
      </c>
      <c r="B363" s="4">
        <f>26.4769 * CHOOSE(CONTROL!$C$6, $C$13, 100%, $E$13) + CHOOSE(CONTROL!$C$25, 0.0003, 0)</f>
        <v>26.4772</v>
      </c>
      <c r="C363" s="4">
        <f>26.1644 * CHOOSE(CONTROL!$C$6, $C$13, 100%, $E$13) + CHOOSE(CONTROL!$C$25, 0.0003, 0)</f>
        <v>26.1647</v>
      </c>
      <c r="D363" s="4">
        <f>33.8339 * CHOOSE(CONTROL!$C$6, $C$13, 100%, $E$13) + CHOOSE(CONTROL!$C$25, 0, 0)</f>
        <v>33.8339</v>
      </c>
      <c r="E363" s="4">
        <f>154.207056301546 * CHOOSE(CONTROL!$C$6, $C$13, 100%, $E$13) + CHOOSE(CONTROL!$C$25, 0, 0)</f>
        <v>154.207056301546</v>
      </c>
    </row>
    <row r="364" spans="1:5" ht="15">
      <c r="A364" s="13">
        <v>52962</v>
      </c>
      <c r="B364" s="4">
        <f>26.0916 * CHOOSE(CONTROL!$C$6, $C$13, 100%, $E$13) + CHOOSE(CONTROL!$C$25, 0.0003, 0)</f>
        <v>26.091899999999999</v>
      </c>
      <c r="C364" s="4">
        <f>25.7791 * CHOOSE(CONTROL!$C$6, $C$13, 100%, $E$13) + CHOOSE(CONTROL!$C$25, 0.0003, 0)</f>
        <v>25.779399999999999</v>
      </c>
      <c r="D364" s="4">
        <f>32.6886 * CHOOSE(CONTROL!$C$6, $C$13, 100%, $E$13) + CHOOSE(CONTROL!$C$25, 0, 0)</f>
        <v>32.688600000000001</v>
      </c>
      <c r="E364" s="4">
        <f>151.791969111326 * CHOOSE(CONTROL!$C$6, $C$13, 100%, $E$13) + CHOOSE(CONTROL!$C$25, 0, 0)</f>
        <v>151.79196911132601</v>
      </c>
    </row>
    <row r="365" spans="1:5" ht="15">
      <c r="A365" s="13">
        <v>52993</v>
      </c>
      <c r="B365" s="4">
        <f>25.4656 * CHOOSE(CONTROL!$C$6, $C$13, 100%, $E$13) + CHOOSE(CONTROL!$C$25, 0.0003, 0)</f>
        <v>25.465899999999998</v>
      </c>
      <c r="C365" s="4">
        <f>25.1531 * CHOOSE(CONTROL!$C$6, $C$13, 100%, $E$13) + CHOOSE(CONTROL!$C$25, 0.0003, 0)</f>
        <v>25.153399999999998</v>
      </c>
      <c r="D365" s="4">
        <f>31.636 * CHOOSE(CONTROL!$C$6, $C$13, 100%, $E$13) + CHOOSE(CONTROL!$C$25, 0, 0)</f>
        <v>31.635999999999999</v>
      </c>
      <c r="E365" s="4">
        <f>147.439153870391 * CHOOSE(CONTROL!$C$6, $C$13, 100%, $E$13) + CHOOSE(CONTROL!$C$25, 0, 0)</f>
        <v>147.43915387039101</v>
      </c>
    </row>
    <row r="366" spans="1:5" ht="15">
      <c r="A366" s="13">
        <v>53021</v>
      </c>
      <c r="B366" s="4">
        <f>26.0257 * CHOOSE(CONTROL!$C$6, $C$13, 100%, $E$13) + CHOOSE(CONTROL!$C$25, 0.0003, 0)</f>
        <v>26.026</v>
      </c>
      <c r="C366" s="4">
        <f>25.7132 * CHOOSE(CONTROL!$C$6, $C$13, 100%, $E$13) + CHOOSE(CONTROL!$C$25, 0.0003, 0)</f>
        <v>25.7135</v>
      </c>
      <c r="D366" s="4">
        <f>32.696 * CHOOSE(CONTROL!$C$6, $C$13, 100%, $E$13) + CHOOSE(CONTROL!$C$25, 0, 0)</f>
        <v>32.695999999999998</v>
      </c>
      <c r="E366" s="4">
        <f>150.939940427628 * CHOOSE(CONTROL!$C$6, $C$13, 100%, $E$13) + CHOOSE(CONTROL!$C$25, 0, 0)</f>
        <v>150.93994042762799</v>
      </c>
    </row>
    <row r="367" spans="1:5" ht="15">
      <c r="A367" s="13">
        <v>53052</v>
      </c>
      <c r="B367" s="4">
        <f>27.4966 * CHOOSE(CONTROL!$C$6, $C$13, 100%, $E$13) + CHOOSE(CONTROL!$C$25, 0.0003, 0)</f>
        <v>27.4969</v>
      </c>
      <c r="C367" s="4">
        <f>27.1841 * CHOOSE(CONTROL!$C$6, $C$13, 100%, $E$13) + CHOOSE(CONTROL!$C$25, 0.0003, 0)</f>
        <v>27.1844</v>
      </c>
      <c r="D367" s="4">
        <f>34.3553 * CHOOSE(CONTROL!$C$6, $C$13, 100%, $E$13) + CHOOSE(CONTROL!$C$25, 0, 0)</f>
        <v>34.3553</v>
      </c>
      <c r="E367" s="4">
        <f>160.133191970027 * CHOOSE(CONTROL!$C$6, $C$13, 100%, $E$13) + CHOOSE(CONTROL!$C$25, 0, 0)</f>
        <v>160.13319197002701</v>
      </c>
    </row>
    <row r="368" spans="1:5" ht="15">
      <c r="A368" s="13">
        <v>53082</v>
      </c>
      <c r="B368" s="4">
        <f>28.5418 * CHOOSE(CONTROL!$C$6, $C$13, 100%, $E$13) + CHOOSE(CONTROL!$C$25, 0.0003, 0)</f>
        <v>28.542099999999998</v>
      </c>
      <c r="C368" s="4">
        <f>28.2293 * CHOOSE(CONTROL!$C$6, $C$13, 100%, $E$13) + CHOOSE(CONTROL!$C$25, 0.0003, 0)</f>
        <v>28.229599999999998</v>
      </c>
      <c r="D368" s="4">
        <f>35.3111 * CHOOSE(CONTROL!$C$6, $C$13, 100%, $E$13) + CHOOSE(CONTROL!$C$25, 0, 0)</f>
        <v>35.311100000000003</v>
      </c>
      <c r="E368" s="4">
        <f>166.665119707087 * CHOOSE(CONTROL!$C$6, $C$13, 100%, $E$13) + CHOOSE(CONTROL!$C$25, 0, 0)</f>
        <v>166.665119707087</v>
      </c>
    </row>
    <row r="369" spans="1:5" ht="15">
      <c r="A369" s="13">
        <v>53113</v>
      </c>
      <c r="B369" s="4">
        <f>29.1803 * CHOOSE(CONTROL!$C$6, $C$13, 100%, $E$13) + CHOOSE(CONTROL!$C$25, 0.0238, 0)</f>
        <v>29.2041</v>
      </c>
      <c r="C369" s="4">
        <f>28.8678 * CHOOSE(CONTROL!$C$6, $C$13, 100%, $E$13) + CHOOSE(CONTROL!$C$25, 0.0238, 0)</f>
        <v>28.8916</v>
      </c>
      <c r="D369" s="4">
        <f>34.9334 * CHOOSE(CONTROL!$C$6, $C$13, 100%, $E$13) + CHOOSE(CONTROL!$C$25, 0, 0)</f>
        <v>34.933399999999999</v>
      </c>
      <c r="E369" s="4">
        <f>170.655971005972 * CHOOSE(CONTROL!$C$6, $C$13, 100%, $E$13) + CHOOSE(CONTROL!$C$25, 0, 0)</f>
        <v>170.65597100597199</v>
      </c>
    </row>
    <row r="370" spans="1:5" ht="15">
      <c r="A370" s="13">
        <v>53143</v>
      </c>
      <c r="B370" s="4">
        <f>29.2667 * CHOOSE(CONTROL!$C$6, $C$13, 100%, $E$13) + CHOOSE(CONTROL!$C$25, 0.0238, 0)</f>
        <v>29.290500000000002</v>
      </c>
      <c r="C370" s="4">
        <f>28.9542 * CHOOSE(CONTROL!$C$6, $C$13, 100%, $E$13) + CHOOSE(CONTROL!$C$25, 0.0238, 0)</f>
        <v>28.978000000000002</v>
      </c>
      <c r="D370" s="4">
        <f>35.241 * CHOOSE(CONTROL!$C$6, $C$13, 100%, $E$13) + CHOOSE(CONTROL!$C$25, 0, 0)</f>
        <v>35.241</v>
      </c>
      <c r="E370" s="4">
        <f>171.195949749084 * CHOOSE(CONTROL!$C$6, $C$13, 100%, $E$13) + CHOOSE(CONTROL!$C$25, 0, 0)</f>
        <v>171.19594974908401</v>
      </c>
    </row>
    <row r="371" spans="1:5" ht="15">
      <c r="A371" s="13">
        <v>53174</v>
      </c>
      <c r="B371" s="4">
        <f>29.258 * CHOOSE(CONTROL!$C$6, $C$13, 100%, $E$13) + CHOOSE(CONTROL!$C$25, 0.0238, 0)</f>
        <v>29.2818</v>
      </c>
      <c r="C371" s="4">
        <f>28.9455 * CHOOSE(CONTROL!$C$6, $C$13, 100%, $E$13) + CHOOSE(CONTROL!$C$25, 0.0238, 0)</f>
        <v>28.9693</v>
      </c>
      <c r="D371" s="4">
        <f>35.7961 * CHOOSE(CONTROL!$C$6, $C$13, 100%, $E$13) + CHOOSE(CONTROL!$C$25, 0, 0)</f>
        <v>35.796100000000003</v>
      </c>
      <c r="E371" s="4">
        <f>171.141498111123 * CHOOSE(CONTROL!$C$6, $C$13, 100%, $E$13) + CHOOSE(CONTROL!$C$25, 0, 0)</f>
        <v>171.14149811112301</v>
      </c>
    </row>
    <row r="372" spans="1:5" ht="15">
      <c r="A372" s="13">
        <v>53205</v>
      </c>
      <c r="B372" s="4">
        <f>29.9136 * CHOOSE(CONTROL!$C$6, $C$13, 100%, $E$13) + CHOOSE(CONTROL!$C$25, 0.0238, 0)</f>
        <v>29.9374</v>
      </c>
      <c r="C372" s="4">
        <f>29.6011 * CHOOSE(CONTROL!$C$6, $C$13, 100%, $E$13) + CHOOSE(CONTROL!$C$25, 0.0238, 0)</f>
        <v>29.6249</v>
      </c>
      <c r="D372" s="4">
        <f>35.4295 * CHOOSE(CONTROL!$C$6, $C$13, 100%, $E$13) + CHOOSE(CONTROL!$C$25, 0, 0)</f>
        <v>35.429499999999997</v>
      </c>
      <c r="E372" s="4">
        <f>175.238983867681 * CHOOSE(CONTROL!$C$6, $C$13, 100%, $E$13) + CHOOSE(CONTROL!$C$25, 0, 0)</f>
        <v>175.23898386768099</v>
      </c>
    </row>
    <row r="373" spans="1:5" ht="15">
      <c r="A373" s="13">
        <v>53235</v>
      </c>
      <c r="B373" s="4">
        <f>28.7962 * CHOOSE(CONTROL!$C$6, $C$13, 100%, $E$13) + CHOOSE(CONTROL!$C$25, 0.0238, 0)</f>
        <v>28.82</v>
      </c>
      <c r="C373" s="4">
        <f>28.4837 * CHOOSE(CONTROL!$C$6, $C$13, 100%, $E$13) + CHOOSE(CONTROL!$C$25, 0.0238, 0)</f>
        <v>28.5075</v>
      </c>
      <c r="D373" s="4">
        <f>35.2563 * CHOOSE(CONTROL!$C$6, $C$13, 100%, $E$13) + CHOOSE(CONTROL!$C$25, 0, 0)</f>
        <v>35.256300000000003</v>
      </c>
      <c r="E373" s="4">
        <f>168.255561299195 * CHOOSE(CONTROL!$C$6, $C$13, 100%, $E$13) + CHOOSE(CONTROL!$C$25, 0, 0)</f>
        <v>168.25556129919499</v>
      </c>
    </row>
    <row r="374" spans="1:5" ht="15">
      <c r="A374" s="13">
        <v>53266</v>
      </c>
      <c r="B374" s="4">
        <f>27.9018 * CHOOSE(CONTROL!$C$6, $C$13, 100%, $E$13) + CHOOSE(CONTROL!$C$25, 0.0003, 0)</f>
        <v>27.902100000000001</v>
      </c>
      <c r="C374" s="4">
        <f>27.5893 * CHOOSE(CONTROL!$C$6, $C$13, 100%, $E$13) + CHOOSE(CONTROL!$C$25, 0.0003, 0)</f>
        <v>27.589600000000001</v>
      </c>
      <c r="D374" s="4">
        <f>34.7926 * CHOOSE(CONTROL!$C$6, $C$13, 100%, $E$13) + CHOOSE(CONTROL!$C$25, 0, 0)</f>
        <v>34.7926</v>
      </c>
      <c r="E374" s="4">
        <f>162.665193135209 * CHOOSE(CONTROL!$C$6, $C$13, 100%, $E$13) + CHOOSE(CONTROL!$C$25, 0, 0)</f>
        <v>162.66519313520899</v>
      </c>
    </row>
    <row r="375" spans="1:5" ht="15">
      <c r="A375" s="13">
        <v>53296</v>
      </c>
      <c r="B375" s="4">
        <f>27.3257 * CHOOSE(CONTROL!$C$6, $C$13, 100%, $E$13) + CHOOSE(CONTROL!$C$25, 0.0003, 0)</f>
        <v>27.326000000000001</v>
      </c>
      <c r="C375" s="4">
        <f>27.0132 * CHOOSE(CONTROL!$C$6, $C$13, 100%, $E$13) + CHOOSE(CONTROL!$C$25, 0.0003, 0)</f>
        <v>27.013500000000001</v>
      </c>
      <c r="D375" s="4">
        <f>34.6332 * CHOOSE(CONTROL!$C$6, $C$13, 100%, $E$13) + CHOOSE(CONTROL!$C$25, 0, 0)</f>
        <v>34.633200000000002</v>
      </c>
      <c r="E375" s="4">
        <f>159.064578575044 * CHOOSE(CONTROL!$C$6, $C$13, 100%, $E$13) + CHOOSE(CONTROL!$C$25, 0, 0)</f>
        <v>159.06457857504401</v>
      </c>
    </row>
    <row r="376" spans="1:5" ht="15">
      <c r="A376" s="13">
        <v>53327</v>
      </c>
      <c r="B376" s="4">
        <f>26.9271 * CHOOSE(CONTROL!$C$6, $C$13, 100%, $E$13) + CHOOSE(CONTROL!$C$25, 0.0003, 0)</f>
        <v>26.927399999999999</v>
      </c>
      <c r="C376" s="4">
        <f>26.6146 * CHOOSE(CONTROL!$C$6, $C$13, 100%, $E$13) + CHOOSE(CONTROL!$C$25, 0.0003, 0)</f>
        <v>26.614899999999999</v>
      </c>
      <c r="D376" s="4">
        <f>33.4596 * CHOOSE(CONTROL!$C$6, $C$13, 100%, $E$13) + CHOOSE(CONTROL!$C$25, 0, 0)</f>
        <v>33.459600000000002</v>
      </c>
      <c r="E376" s="4">
        <f>156.573416138333 * CHOOSE(CONTROL!$C$6, $C$13, 100%, $E$13) + CHOOSE(CONTROL!$C$25, 0, 0)</f>
        <v>156.57341613833299</v>
      </c>
    </row>
    <row r="377" spans="1:5" ht="15">
      <c r="A377" s="13">
        <v>53358</v>
      </c>
      <c r="B377" s="4">
        <f>26.2794 * CHOOSE(CONTROL!$C$6, $C$13, 100%, $E$13) + CHOOSE(CONTROL!$C$25, 0.0003, 0)</f>
        <v>26.279699999999998</v>
      </c>
      <c r="C377" s="4">
        <f>25.9669 * CHOOSE(CONTROL!$C$6, $C$13, 100%, $E$13) + CHOOSE(CONTROL!$C$25, 0.0003, 0)</f>
        <v>25.967199999999998</v>
      </c>
      <c r="D377" s="4">
        <f>32.3808 * CHOOSE(CONTROL!$C$6, $C$13, 100%, $E$13) + CHOOSE(CONTROL!$C$25, 0, 0)</f>
        <v>32.380800000000001</v>
      </c>
      <c r="E377" s="4">
        <f>152.083487217308 * CHOOSE(CONTROL!$C$6, $C$13, 100%, $E$13) + CHOOSE(CONTROL!$C$25, 0, 0)</f>
        <v>152.083487217308</v>
      </c>
    </row>
    <row r="378" spans="1:5" ht="15">
      <c r="A378" s="13">
        <v>53386</v>
      </c>
      <c r="B378" s="4">
        <f>26.8589 * CHOOSE(CONTROL!$C$6, $C$13, 100%, $E$13) + CHOOSE(CONTROL!$C$25, 0.0003, 0)</f>
        <v>26.859199999999998</v>
      </c>
      <c r="C378" s="4">
        <f>26.5464 * CHOOSE(CONTROL!$C$6, $C$13, 100%, $E$13) + CHOOSE(CONTROL!$C$25, 0.0003, 0)</f>
        <v>26.546699999999998</v>
      </c>
      <c r="D378" s="4">
        <f>33.4671 * CHOOSE(CONTROL!$C$6, $C$13, 100%, $E$13) + CHOOSE(CONTROL!$C$25, 0, 0)</f>
        <v>33.467100000000002</v>
      </c>
      <c r="E378" s="4">
        <f>155.694548551098 * CHOOSE(CONTROL!$C$6, $C$13, 100%, $E$13) + CHOOSE(CONTROL!$C$25, 0, 0)</f>
        <v>155.69454855109799</v>
      </c>
    </row>
    <row r="379" spans="1:5" ht="15">
      <c r="A379" s="13">
        <v>53417</v>
      </c>
      <c r="B379" s="4">
        <f>28.3806 * CHOOSE(CONTROL!$C$6, $C$13, 100%, $E$13) + CHOOSE(CONTROL!$C$25, 0.0003, 0)</f>
        <v>28.3809</v>
      </c>
      <c r="C379" s="4">
        <f>28.0681 * CHOOSE(CONTROL!$C$6, $C$13, 100%, $E$13) + CHOOSE(CONTROL!$C$25, 0.0003, 0)</f>
        <v>28.0684</v>
      </c>
      <c r="D379" s="4">
        <f>35.1676 * CHOOSE(CONTROL!$C$6, $C$13, 100%, $E$13) + CHOOSE(CONTROL!$C$25, 0, 0)</f>
        <v>35.1676</v>
      </c>
      <c r="E379" s="4">
        <f>165.177387517083 * CHOOSE(CONTROL!$C$6, $C$13, 100%, $E$13) + CHOOSE(CONTROL!$C$25, 0, 0)</f>
        <v>165.17738751708299</v>
      </c>
    </row>
    <row r="380" spans="1:5" ht="15">
      <c r="A380" s="13">
        <v>53447</v>
      </c>
      <c r="B380" s="4">
        <f>29.4618 * CHOOSE(CONTROL!$C$6, $C$13, 100%, $E$13) + CHOOSE(CONTROL!$C$25, 0.0003, 0)</f>
        <v>29.4621</v>
      </c>
      <c r="C380" s="4">
        <f>29.1493 * CHOOSE(CONTROL!$C$6, $C$13, 100%, $E$13) + CHOOSE(CONTROL!$C$25, 0.0003, 0)</f>
        <v>29.1496</v>
      </c>
      <c r="D380" s="4">
        <f>36.1471 * CHOOSE(CONTROL!$C$6, $C$13, 100%, $E$13) + CHOOSE(CONTROL!$C$25, 0, 0)</f>
        <v>36.147100000000002</v>
      </c>
      <c r="E380" s="4">
        <f>171.91507097786 * CHOOSE(CONTROL!$C$6, $C$13, 100%, $E$13) + CHOOSE(CONTROL!$C$25, 0, 0)</f>
        <v>171.91507097786001</v>
      </c>
    </row>
    <row r="381" spans="1:5" ht="15">
      <c r="A381" s="13">
        <v>53478</v>
      </c>
      <c r="B381" s="4">
        <f>30.1223 * CHOOSE(CONTROL!$C$6, $C$13, 100%, $E$13) + CHOOSE(CONTROL!$C$25, 0.0238, 0)</f>
        <v>30.146100000000001</v>
      </c>
      <c r="C381" s="4">
        <f>29.8098 * CHOOSE(CONTROL!$C$6, $C$13, 100%, $E$13) + CHOOSE(CONTROL!$C$25, 0.0238, 0)</f>
        <v>29.833600000000001</v>
      </c>
      <c r="D381" s="4">
        <f>35.76 * CHOOSE(CONTROL!$C$6, $C$13, 100%, $E$13) + CHOOSE(CONTROL!$C$25, 0, 0)</f>
        <v>35.76</v>
      </c>
      <c r="E381" s="4">
        <f>176.03163409266 * CHOOSE(CONTROL!$C$6, $C$13, 100%, $E$13) + CHOOSE(CONTROL!$C$25, 0, 0)</f>
        <v>176.03163409266</v>
      </c>
    </row>
    <row r="382" spans="1:5" ht="15">
      <c r="A382" s="13">
        <v>53508</v>
      </c>
      <c r="B382" s="4">
        <f>30.2117 * CHOOSE(CONTROL!$C$6, $C$13, 100%, $E$13) + CHOOSE(CONTROL!$C$25, 0.0238, 0)</f>
        <v>30.235500000000002</v>
      </c>
      <c r="C382" s="4">
        <f>29.8992 * CHOOSE(CONTROL!$C$6, $C$13, 100%, $E$13) + CHOOSE(CONTROL!$C$25, 0.0238, 0)</f>
        <v>29.923000000000002</v>
      </c>
      <c r="D382" s="4">
        <f>36.0753 * CHOOSE(CONTROL!$C$6, $C$13, 100%, $E$13) + CHOOSE(CONTROL!$C$25, 0, 0)</f>
        <v>36.075299999999999</v>
      </c>
      <c r="E382" s="4">
        <f>176.58862216618 * CHOOSE(CONTROL!$C$6, $C$13, 100%, $E$13) + CHOOSE(CONTROL!$C$25, 0, 0)</f>
        <v>176.58862216617999</v>
      </c>
    </row>
    <row r="383" spans="1:5" ht="15">
      <c r="A383" s="13">
        <v>53539</v>
      </c>
      <c r="B383" s="4">
        <f>30.2027 * CHOOSE(CONTROL!$C$6, $C$13, 100%, $E$13) + CHOOSE(CONTROL!$C$25, 0.0238, 0)</f>
        <v>30.226500000000001</v>
      </c>
      <c r="C383" s="4">
        <f>29.8902 * CHOOSE(CONTROL!$C$6, $C$13, 100%, $E$13) + CHOOSE(CONTROL!$C$25, 0.0238, 0)</f>
        <v>29.914000000000001</v>
      </c>
      <c r="D383" s="4">
        <f>36.644 * CHOOSE(CONTROL!$C$6, $C$13, 100%, $E$13) + CHOOSE(CONTROL!$C$25, 0, 0)</f>
        <v>36.643999999999998</v>
      </c>
      <c r="E383" s="4">
        <f>176.532455301624 * CHOOSE(CONTROL!$C$6, $C$13, 100%, $E$13) + CHOOSE(CONTROL!$C$25, 0, 0)</f>
        <v>176.532455301624</v>
      </c>
    </row>
    <row r="384" spans="1:5" ht="15">
      <c r="A384" s="13">
        <v>53570</v>
      </c>
      <c r="B384" s="4">
        <f>30.8809 * CHOOSE(CONTROL!$C$6, $C$13, 100%, $E$13) + CHOOSE(CONTROL!$C$25, 0.0238, 0)</f>
        <v>30.904700000000002</v>
      </c>
      <c r="C384" s="4">
        <f>30.5684 * CHOOSE(CONTROL!$C$6, $C$13, 100%, $E$13) + CHOOSE(CONTROL!$C$25, 0.0238, 0)</f>
        <v>30.592200000000002</v>
      </c>
      <c r="D384" s="4">
        <f>36.2684 * CHOOSE(CONTROL!$C$6, $C$13, 100%, $E$13) + CHOOSE(CONTROL!$C$25, 0, 0)</f>
        <v>36.2684</v>
      </c>
      <c r="E384" s="4">
        <f>180.759011859513 * CHOOSE(CONTROL!$C$6, $C$13, 100%, $E$13) + CHOOSE(CONTROL!$C$25, 0, 0)</f>
        <v>180.75901185951301</v>
      </c>
    </row>
    <row r="385" spans="1:5" ht="15">
      <c r="A385" s="13">
        <v>53600</v>
      </c>
      <c r="B385" s="4">
        <f>29.725 * CHOOSE(CONTROL!$C$6, $C$13, 100%, $E$13) + CHOOSE(CONTROL!$C$25, 0.0238, 0)</f>
        <v>29.748800000000003</v>
      </c>
      <c r="C385" s="4">
        <f>29.4125 * CHOOSE(CONTROL!$C$6, $C$13, 100%, $E$13) + CHOOSE(CONTROL!$C$25, 0.0238, 0)</f>
        <v>29.436300000000003</v>
      </c>
      <c r="D385" s="4">
        <f>36.0909 * CHOOSE(CONTROL!$C$6, $C$13, 100%, $E$13) + CHOOSE(CONTROL!$C$25, 0, 0)</f>
        <v>36.090899999999998</v>
      </c>
      <c r="E385" s="4">
        <f>173.55561148012 * CHOOSE(CONTROL!$C$6, $C$13, 100%, $E$13) + CHOOSE(CONTROL!$C$25, 0, 0)</f>
        <v>173.55561148012001</v>
      </c>
    </row>
    <row r="386" spans="1:5" ht="15">
      <c r="A386" s="13">
        <v>53631</v>
      </c>
      <c r="B386" s="4">
        <f>28.7997 * CHOOSE(CONTROL!$C$6, $C$13, 100%, $E$13) + CHOOSE(CONTROL!$C$25, 0.0003, 0)</f>
        <v>28.8</v>
      </c>
      <c r="C386" s="4">
        <f>28.4872 * CHOOSE(CONTROL!$C$6, $C$13, 100%, $E$13) + CHOOSE(CONTROL!$C$25, 0.0003, 0)</f>
        <v>28.487500000000001</v>
      </c>
      <c r="D386" s="4">
        <f>35.6157 * CHOOSE(CONTROL!$C$6, $C$13, 100%, $E$13) + CHOOSE(CONTROL!$C$25, 0, 0)</f>
        <v>35.615699999999997</v>
      </c>
      <c r="E386" s="4">
        <f>167.789146718968 * CHOOSE(CONTROL!$C$6, $C$13, 100%, $E$13) + CHOOSE(CONTROL!$C$25, 0, 0)</f>
        <v>167.789146718968</v>
      </c>
    </row>
    <row r="387" spans="1:5" ht="15">
      <c r="A387" s="13">
        <v>53661</v>
      </c>
      <c r="B387" s="4">
        <f>28.2037 * CHOOSE(CONTROL!$C$6, $C$13, 100%, $E$13) + CHOOSE(CONTROL!$C$25, 0.0003, 0)</f>
        <v>28.204000000000001</v>
      </c>
      <c r="C387" s="4">
        <f>27.8912 * CHOOSE(CONTROL!$C$6, $C$13, 100%, $E$13) + CHOOSE(CONTROL!$C$25, 0.0003, 0)</f>
        <v>27.891500000000001</v>
      </c>
      <c r="D387" s="4">
        <f>35.4524 * CHOOSE(CONTROL!$C$6, $C$13, 100%, $E$13) + CHOOSE(CONTROL!$C$25, 0, 0)</f>
        <v>35.452399999999997</v>
      </c>
      <c r="E387" s="4">
        <f>164.075112800158 * CHOOSE(CONTROL!$C$6, $C$13, 100%, $E$13) + CHOOSE(CONTROL!$C$25, 0, 0)</f>
        <v>164.075112800158</v>
      </c>
    </row>
    <row r="388" spans="1:5" ht="15">
      <c r="A388" s="13">
        <v>53692</v>
      </c>
      <c r="B388" s="4">
        <f>27.7914 * CHOOSE(CONTROL!$C$6, $C$13, 100%, $E$13) + CHOOSE(CONTROL!$C$25, 0.0003, 0)</f>
        <v>27.791699999999999</v>
      </c>
      <c r="C388" s="4">
        <f>27.4789 * CHOOSE(CONTROL!$C$6, $C$13, 100%, $E$13) + CHOOSE(CONTROL!$C$25, 0.0003, 0)</f>
        <v>27.479199999999999</v>
      </c>
      <c r="D388" s="4">
        <f>34.2496 * CHOOSE(CONTROL!$C$6, $C$13, 100%, $E$13) + CHOOSE(CONTROL!$C$25, 0, 0)</f>
        <v>34.249600000000001</v>
      </c>
      <c r="E388" s="4">
        <f>161.50547874669 * CHOOSE(CONTROL!$C$6, $C$13, 100%, $E$13) + CHOOSE(CONTROL!$C$25, 0, 0)</f>
        <v>161.50547874668999</v>
      </c>
    </row>
    <row r="389" spans="1:5" ht="15">
      <c r="A389" s="13">
        <v>53723</v>
      </c>
      <c r="B389" s="4">
        <f>27.1214 * CHOOSE(CONTROL!$C$6, $C$13, 100%, $E$13) + CHOOSE(CONTROL!$C$25, 0.0003, 0)</f>
        <v>27.121700000000001</v>
      </c>
      <c r="C389" s="4">
        <f>26.8089 * CHOOSE(CONTROL!$C$6, $C$13, 100%, $E$13) + CHOOSE(CONTROL!$C$25, 0.0003, 0)</f>
        <v>26.809200000000001</v>
      </c>
      <c r="D389" s="4">
        <f>33.1441 * CHOOSE(CONTROL!$C$6, $C$13, 100%, $E$13) + CHOOSE(CONTROL!$C$25, 0, 0)</f>
        <v>33.144100000000002</v>
      </c>
      <c r="E389" s="4">
        <f>156.874117064654 * CHOOSE(CONTROL!$C$6, $C$13, 100%, $E$13) + CHOOSE(CONTROL!$C$25, 0, 0)</f>
        <v>156.874117064654</v>
      </c>
    </row>
    <row r="390" spans="1:5" ht="15">
      <c r="A390" s="13">
        <v>53751</v>
      </c>
      <c r="B390" s="4">
        <f>27.7208 * CHOOSE(CONTROL!$C$6, $C$13, 100%, $E$13) + CHOOSE(CONTROL!$C$25, 0.0003, 0)</f>
        <v>27.7211</v>
      </c>
      <c r="C390" s="4">
        <f>27.4083 * CHOOSE(CONTROL!$C$6, $C$13, 100%, $E$13) + CHOOSE(CONTROL!$C$25, 0.0003, 0)</f>
        <v>27.4086</v>
      </c>
      <c r="D390" s="4">
        <f>34.2573 * CHOOSE(CONTROL!$C$6, $C$13, 100%, $E$13) + CHOOSE(CONTROL!$C$25, 0, 0)</f>
        <v>34.257300000000001</v>
      </c>
      <c r="E390" s="4">
        <f>160.598926830458 * CHOOSE(CONTROL!$C$6, $C$13, 100%, $E$13) + CHOOSE(CONTROL!$C$25, 0, 0)</f>
        <v>160.598926830458</v>
      </c>
    </row>
    <row r="391" spans="1:5" ht="15">
      <c r="A391" s="13">
        <v>53782</v>
      </c>
      <c r="B391" s="4">
        <f>29.295 * CHOOSE(CONTROL!$C$6, $C$13, 100%, $E$13) + CHOOSE(CONTROL!$C$25, 0.0003, 0)</f>
        <v>29.295300000000001</v>
      </c>
      <c r="C391" s="4">
        <f>28.9825 * CHOOSE(CONTROL!$C$6, $C$13, 100%, $E$13) + CHOOSE(CONTROL!$C$25, 0.0003, 0)</f>
        <v>28.982800000000001</v>
      </c>
      <c r="D391" s="4">
        <f>36 * CHOOSE(CONTROL!$C$6, $C$13, 100%, $E$13) + CHOOSE(CONTROL!$C$25, 0, 0)</f>
        <v>36</v>
      </c>
      <c r="E391" s="4">
        <f>170.380475223871 * CHOOSE(CONTROL!$C$6, $C$13, 100%, $E$13) + CHOOSE(CONTROL!$C$25, 0, 0)</f>
        <v>170.380475223871</v>
      </c>
    </row>
    <row r="392" spans="1:5" ht="15">
      <c r="A392" s="13">
        <v>53812</v>
      </c>
      <c r="B392" s="4">
        <f>30.4135 * CHOOSE(CONTROL!$C$6, $C$13, 100%, $E$13) + CHOOSE(CONTROL!$C$25, 0.0003, 0)</f>
        <v>30.413799999999998</v>
      </c>
      <c r="C392" s="4">
        <f>30.101 * CHOOSE(CONTROL!$C$6, $C$13, 100%, $E$13) + CHOOSE(CONTROL!$C$25, 0.0003, 0)</f>
        <v>30.101299999999998</v>
      </c>
      <c r="D392" s="4">
        <f>37.0038 * CHOOSE(CONTROL!$C$6, $C$13, 100%, $E$13) + CHOOSE(CONTROL!$C$25, 0, 0)</f>
        <v>37.003799999999998</v>
      </c>
      <c r="E392" s="4">
        <f>177.330395713663 * CHOOSE(CONTROL!$C$6, $C$13, 100%, $E$13) + CHOOSE(CONTROL!$C$25, 0, 0)</f>
        <v>177.33039571366299</v>
      </c>
    </row>
    <row r="393" spans="1:5" ht="15">
      <c r="A393" s="13">
        <v>53843</v>
      </c>
      <c r="B393" s="4">
        <f>31.0969 * CHOOSE(CONTROL!$C$6, $C$13, 100%, $E$13) + CHOOSE(CONTROL!$C$25, 0.0238, 0)</f>
        <v>31.120700000000003</v>
      </c>
      <c r="C393" s="4">
        <f>30.7844 * CHOOSE(CONTROL!$C$6, $C$13, 100%, $E$13) + CHOOSE(CONTROL!$C$25, 0.0238, 0)</f>
        <v>30.808200000000003</v>
      </c>
      <c r="D393" s="4">
        <f>36.6071 * CHOOSE(CONTROL!$C$6, $C$13, 100%, $E$13) + CHOOSE(CONTROL!$C$25, 0, 0)</f>
        <v>36.607100000000003</v>
      </c>
      <c r="E393" s="4">
        <f>181.576630566579 * CHOOSE(CONTROL!$C$6, $C$13, 100%, $E$13) + CHOOSE(CONTROL!$C$25, 0, 0)</f>
        <v>181.57663056657901</v>
      </c>
    </row>
    <row r="394" spans="1:5" ht="15">
      <c r="A394" s="13">
        <v>53873</v>
      </c>
      <c r="B394" s="4">
        <f>31.1893 * CHOOSE(CONTROL!$C$6, $C$13, 100%, $E$13) + CHOOSE(CONTROL!$C$25, 0.0238, 0)</f>
        <v>31.213100000000001</v>
      </c>
      <c r="C394" s="4">
        <f>30.8768 * CHOOSE(CONTROL!$C$6, $C$13, 100%, $E$13) + CHOOSE(CONTROL!$C$25, 0.0238, 0)</f>
        <v>30.900600000000001</v>
      </c>
      <c r="D394" s="4">
        <f>36.9302 * CHOOSE(CONTROL!$C$6, $C$13, 100%, $E$13) + CHOOSE(CONTROL!$C$25, 0, 0)</f>
        <v>36.930199999999999</v>
      </c>
      <c r="E394" s="4">
        <f>182.151163764415 * CHOOSE(CONTROL!$C$6, $C$13, 100%, $E$13) + CHOOSE(CONTROL!$C$25, 0, 0)</f>
        <v>182.151163764415</v>
      </c>
    </row>
    <row r="395" spans="1:5" ht="15">
      <c r="A395" s="13">
        <v>53904</v>
      </c>
      <c r="B395" s="4">
        <f>31.18 * CHOOSE(CONTROL!$C$6, $C$13, 100%, $E$13) + CHOOSE(CONTROL!$C$25, 0.0238, 0)</f>
        <v>31.203800000000001</v>
      </c>
      <c r="C395" s="4">
        <f>30.8675 * CHOOSE(CONTROL!$C$6, $C$13, 100%, $E$13) + CHOOSE(CONTROL!$C$25, 0.0238, 0)</f>
        <v>30.891300000000001</v>
      </c>
      <c r="D395" s="4">
        <f>37.5131 * CHOOSE(CONTROL!$C$6, $C$13, 100%, $E$13) + CHOOSE(CONTROL!$C$25, 0, 0)</f>
        <v>37.513100000000001</v>
      </c>
      <c r="E395" s="4">
        <f>182.093227643625 * CHOOSE(CONTROL!$C$6, $C$13, 100%, $E$13) + CHOOSE(CONTROL!$C$25, 0, 0)</f>
        <v>182.093227643625</v>
      </c>
    </row>
    <row r="396" spans="1:5" ht="15">
      <c r="A396" s="13">
        <v>53935</v>
      </c>
      <c r="B396" s="4">
        <f>31.8816 * CHOOSE(CONTROL!$C$6, $C$13, 100%, $E$13) + CHOOSE(CONTROL!$C$25, 0.0238, 0)</f>
        <v>31.9054</v>
      </c>
      <c r="C396" s="4">
        <f>31.5691 * CHOOSE(CONTROL!$C$6, $C$13, 100%, $E$13) + CHOOSE(CONTROL!$C$25, 0.0238, 0)</f>
        <v>31.5929</v>
      </c>
      <c r="D396" s="4">
        <f>37.1281 * CHOOSE(CONTROL!$C$6, $C$13, 100%, $E$13) + CHOOSE(CONTROL!$C$25, 0, 0)</f>
        <v>37.128100000000003</v>
      </c>
      <c r="E396" s="4">
        <f>186.452920733088 * CHOOSE(CONTROL!$C$6, $C$13, 100%, $E$13) + CHOOSE(CONTROL!$C$25, 0, 0)</f>
        <v>186.45292073308801</v>
      </c>
    </row>
    <row r="397" spans="1:5" ht="15">
      <c r="A397" s="13">
        <v>53965</v>
      </c>
      <c r="B397" s="4">
        <f>30.6858 * CHOOSE(CONTROL!$C$6, $C$13, 100%, $E$13) + CHOOSE(CONTROL!$C$25, 0.0238, 0)</f>
        <v>30.709600000000002</v>
      </c>
      <c r="C397" s="4">
        <f>30.3733 * CHOOSE(CONTROL!$C$6, $C$13, 100%, $E$13) + CHOOSE(CONTROL!$C$25, 0.0238, 0)</f>
        <v>30.397100000000002</v>
      </c>
      <c r="D397" s="4">
        <f>36.9462 * CHOOSE(CONTROL!$C$6, $C$13, 100%, $E$13) + CHOOSE(CONTROL!$C$25, 0, 0)</f>
        <v>36.946199999999997</v>
      </c>
      <c r="E397" s="4">
        <f>179.022613241744 * CHOOSE(CONTROL!$C$6, $C$13, 100%, $E$13) + CHOOSE(CONTROL!$C$25, 0, 0)</f>
        <v>179.02261324174401</v>
      </c>
    </row>
    <row r="398" spans="1:5" ht="15">
      <c r="A398" s="13">
        <v>53996</v>
      </c>
      <c r="B398" s="4">
        <f>29.7286 * CHOOSE(CONTROL!$C$6, $C$13, 100%, $E$13) + CHOOSE(CONTROL!$C$25, 0.0003, 0)</f>
        <v>29.728899999999999</v>
      </c>
      <c r="C398" s="4">
        <f>29.4161 * CHOOSE(CONTROL!$C$6, $C$13, 100%, $E$13) + CHOOSE(CONTROL!$C$25, 0.0003, 0)</f>
        <v>29.416399999999999</v>
      </c>
      <c r="D398" s="4">
        <f>36.4592 * CHOOSE(CONTROL!$C$6, $C$13, 100%, $E$13) + CHOOSE(CONTROL!$C$25, 0, 0)</f>
        <v>36.459200000000003</v>
      </c>
      <c r="E398" s="4">
        <f>173.074504840616 * CHOOSE(CONTROL!$C$6, $C$13, 100%, $E$13) + CHOOSE(CONTROL!$C$25, 0, 0)</f>
        <v>173.07450484061599</v>
      </c>
    </row>
    <row r="399" spans="1:5" ht="15">
      <c r="A399" s="13">
        <v>54026</v>
      </c>
      <c r="B399" s="4">
        <f>29.112 * CHOOSE(CONTROL!$C$6, $C$13, 100%, $E$13) + CHOOSE(CONTROL!$C$25, 0.0003, 0)</f>
        <v>29.112299999999998</v>
      </c>
      <c r="C399" s="4">
        <f>28.7995 * CHOOSE(CONTROL!$C$6, $C$13, 100%, $E$13) + CHOOSE(CONTROL!$C$25, 0.0003, 0)</f>
        <v>28.799799999999998</v>
      </c>
      <c r="D399" s="4">
        <f>36.2918 * CHOOSE(CONTROL!$C$6, $C$13, 100%, $E$13) + CHOOSE(CONTROL!$C$25, 0, 0)</f>
        <v>36.291800000000002</v>
      </c>
      <c r="E399" s="4">
        <f>169.243478853363 * CHOOSE(CONTROL!$C$6, $C$13, 100%, $E$13) + CHOOSE(CONTROL!$C$25, 0, 0)</f>
        <v>169.243478853363</v>
      </c>
    </row>
    <row r="400" spans="1:5" ht="15">
      <c r="A400" s="13">
        <v>54057</v>
      </c>
      <c r="B400" s="4">
        <f>28.6855 * CHOOSE(CONTROL!$C$6, $C$13, 100%, $E$13) + CHOOSE(CONTROL!$C$25, 0.0003, 0)</f>
        <v>28.6858</v>
      </c>
      <c r="C400" s="4">
        <f>28.373 * CHOOSE(CONTROL!$C$6, $C$13, 100%, $E$13) + CHOOSE(CONTROL!$C$25, 0.0003, 0)</f>
        <v>28.3733</v>
      </c>
      <c r="D400" s="4">
        <f>35.0592 * CHOOSE(CONTROL!$C$6, $C$13, 100%, $E$13) + CHOOSE(CONTROL!$C$25, 0, 0)</f>
        <v>35.059199999999997</v>
      </c>
      <c r="E400" s="4">
        <f>166.592901327211 * CHOOSE(CONTROL!$C$6, $C$13, 100%, $E$13) + CHOOSE(CONTROL!$C$25, 0, 0)</f>
        <v>166.592901327211</v>
      </c>
    </row>
    <row r="401" spans="1:5" ht="15">
      <c r="A401" s="13">
        <v>54088</v>
      </c>
      <c r="B401" s="4">
        <f>27.9924 * CHOOSE(CONTROL!$C$6, $C$13, 100%, $E$13) + CHOOSE(CONTROL!$C$25, 0.0003, 0)</f>
        <v>27.992699999999999</v>
      </c>
      <c r="C401" s="4">
        <f>27.6799 * CHOOSE(CONTROL!$C$6, $C$13, 100%, $E$13) + CHOOSE(CONTROL!$C$25, 0.0003, 0)</f>
        <v>27.680199999999999</v>
      </c>
      <c r="D401" s="4">
        <f>33.9263 * CHOOSE(CONTROL!$C$6, $C$13, 100%, $E$13) + CHOOSE(CONTROL!$C$25, 0, 0)</f>
        <v>33.926299999999998</v>
      </c>
      <c r="E401" s="4">
        <f>161.81565175219 * CHOOSE(CONTROL!$C$6, $C$13, 100%, $E$13) + CHOOSE(CONTROL!$C$25, 0, 0)</f>
        <v>161.81565175219001</v>
      </c>
    </row>
    <row r="402" spans="1:5" ht="15">
      <c r="A402" s="13">
        <v>54116</v>
      </c>
      <c r="B402" s="4">
        <f>28.6125 * CHOOSE(CONTROL!$C$6, $C$13, 100%, $E$13) + CHOOSE(CONTROL!$C$25, 0.0003, 0)</f>
        <v>28.6128</v>
      </c>
      <c r="C402" s="4">
        <f>28.3 * CHOOSE(CONTROL!$C$6, $C$13, 100%, $E$13) + CHOOSE(CONTROL!$C$25, 0.0003, 0)</f>
        <v>28.3003</v>
      </c>
      <c r="D402" s="4">
        <f>35.0672 * CHOOSE(CONTROL!$C$6, $C$13, 100%, $E$13) + CHOOSE(CONTROL!$C$25, 0, 0)</f>
        <v>35.0672</v>
      </c>
      <c r="E402" s="4">
        <f>165.657793025617 * CHOOSE(CONTROL!$C$6, $C$13, 100%, $E$13) + CHOOSE(CONTROL!$C$25, 0, 0)</f>
        <v>165.657793025617</v>
      </c>
    </row>
    <row r="403" spans="1:5" ht="15">
      <c r="A403" s="13">
        <v>54148</v>
      </c>
      <c r="B403" s="4">
        <f>30.241 * CHOOSE(CONTROL!$C$6, $C$13, 100%, $E$13) + CHOOSE(CONTROL!$C$25, 0.0003, 0)</f>
        <v>30.241299999999999</v>
      </c>
      <c r="C403" s="4">
        <f>29.9285 * CHOOSE(CONTROL!$C$6, $C$13, 100%, $E$13) + CHOOSE(CONTROL!$C$25, 0.0003, 0)</f>
        <v>29.928799999999999</v>
      </c>
      <c r="D403" s="4">
        <f>36.853 * CHOOSE(CONTROL!$C$6, $C$13, 100%, $E$13) + CHOOSE(CONTROL!$C$25, 0, 0)</f>
        <v>36.853000000000002</v>
      </c>
      <c r="E403" s="4">
        <f>175.747460193423 * CHOOSE(CONTROL!$C$6, $C$13, 100%, $E$13) + CHOOSE(CONTROL!$C$25, 0, 0)</f>
        <v>175.747460193423</v>
      </c>
    </row>
    <row r="404" spans="1:5" ht="15">
      <c r="A404" s="13">
        <v>54178</v>
      </c>
      <c r="B404" s="4">
        <f>31.3981 * CHOOSE(CONTROL!$C$6, $C$13, 100%, $E$13) + CHOOSE(CONTROL!$C$25, 0.0003, 0)</f>
        <v>31.398399999999999</v>
      </c>
      <c r="C404" s="4">
        <f>31.0856 * CHOOSE(CONTROL!$C$6, $C$13, 100%, $E$13) + CHOOSE(CONTROL!$C$25, 0.0003, 0)</f>
        <v>31.085899999999999</v>
      </c>
      <c r="D404" s="4">
        <f>37.8817 * CHOOSE(CONTROL!$C$6, $C$13, 100%, $E$13) + CHOOSE(CONTROL!$C$25, 0, 0)</f>
        <v>37.881700000000002</v>
      </c>
      <c r="E404" s="4">
        <f>182.916303178643 * CHOOSE(CONTROL!$C$6, $C$13, 100%, $E$13) + CHOOSE(CONTROL!$C$25, 0, 0)</f>
        <v>182.91630317864301</v>
      </c>
    </row>
    <row r="405" spans="1:5" ht="15">
      <c r="A405" s="13">
        <v>54209</v>
      </c>
      <c r="B405" s="4">
        <f>32.105 * CHOOSE(CONTROL!$C$6, $C$13, 100%, $E$13) + CHOOSE(CONTROL!$C$25, 0.0238, 0)</f>
        <v>32.128799999999998</v>
      </c>
      <c r="C405" s="4">
        <f>31.7925 * CHOOSE(CONTROL!$C$6, $C$13, 100%, $E$13) + CHOOSE(CONTROL!$C$25, 0.0238, 0)</f>
        <v>31.816300000000002</v>
      </c>
      <c r="D405" s="4">
        <f>37.4752 * CHOOSE(CONTROL!$C$6, $C$13, 100%, $E$13) + CHOOSE(CONTROL!$C$25, 0, 0)</f>
        <v>37.475200000000001</v>
      </c>
      <c r="E405" s="4">
        <f>187.296294429426 * CHOOSE(CONTROL!$C$6, $C$13, 100%, $E$13) + CHOOSE(CONTROL!$C$25, 0, 0)</f>
        <v>187.29629442942601</v>
      </c>
    </row>
    <row r="406" spans="1:5" ht="15">
      <c r="A406" s="13">
        <v>54239</v>
      </c>
      <c r="B406" s="4">
        <f>32.2007 * CHOOSE(CONTROL!$C$6, $C$13, 100%, $E$13) + CHOOSE(CONTROL!$C$25, 0.0238, 0)</f>
        <v>32.224499999999999</v>
      </c>
      <c r="C406" s="4">
        <f>31.8882 * CHOOSE(CONTROL!$C$6, $C$13, 100%, $E$13) + CHOOSE(CONTROL!$C$25, 0.0238, 0)</f>
        <v>31.912000000000003</v>
      </c>
      <c r="D406" s="4">
        <f>37.8063 * CHOOSE(CONTROL!$C$6, $C$13, 100%, $E$13) + CHOOSE(CONTROL!$C$25, 0, 0)</f>
        <v>37.8063</v>
      </c>
      <c r="E406" s="4">
        <f>187.888925422994 * CHOOSE(CONTROL!$C$6, $C$13, 100%, $E$13) + CHOOSE(CONTROL!$C$25, 0, 0)</f>
        <v>187.88892542299399</v>
      </c>
    </row>
    <row r="407" spans="1:5" ht="15">
      <c r="A407" s="13">
        <v>54270</v>
      </c>
      <c r="B407" s="4">
        <f>32.191 * CHOOSE(CONTROL!$C$6, $C$13, 100%, $E$13) + CHOOSE(CONTROL!$C$25, 0.0238, 0)</f>
        <v>32.214800000000004</v>
      </c>
      <c r="C407" s="4">
        <f>31.8785 * CHOOSE(CONTROL!$C$6, $C$13, 100%, $E$13) + CHOOSE(CONTROL!$C$25, 0.0238, 0)</f>
        <v>31.9023</v>
      </c>
      <c r="D407" s="4">
        <f>38.4036 * CHOOSE(CONTROL!$C$6, $C$13, 100%, $E$13) + CHOOSE(CONTROL!$C$25, 0, 0)</f>
        <v>38.403599999999997</v>
      </c>
      <c r="E407" s="4">
        <f>187.829164314399 * CHOOSE(CONTROL!$C$6, $C$13, 100%, $E$13) + CHOOSE(CONTROL!$C$25, 0, 0)</f>
        <v>187.82916431439901</v>
      </c>
    </row>
    <row r="408" spans="1:5" ht="15">
      <c r="A408" s="13">
        <v>54301</v>
      </c>
      <c r="B408" s="4">
        <f>32.9169 * CHOOSE(CONTROL!$C$6, $C$13, 100%, $E$13) + CHOOSE(CONTROL!$C$25, 0.0238, 0)</f>
        <v>32.9407</v>
      </c>
      <c r="C408" s="4">
        <f>32.6044 * CHOOSE(CONTROL!$C$6, $C$13, 100%, $E$13) + CHOOSE(CONTROL!$C$25, 0.0238, 0)</f>
        <v>32.6282</v>
      </c>
      <c r="D408" s="4">
        <f>38.0091 * CHOOSE(CONTROL!$C$6, $C$13, 100%, $E$13) + CHOOSE(CONTROL!$C$25, 0, 0)</f>
        <v>38.009099999999997</v>
      </c>
      <c r="E408" s="4">
        <f>192.32618773618 * CHOOSE(CONTROL!$C$6, $C$13, 100%, $E$13) + CHOOSE(CONTROL!$C$25, 0, 0)</f>
        <v>192.32618773618</v>
      </c>
    </row>
    <row r="409" spans="1:5" ht="15">
      <c r="A409" s="13">
        <v>54331</v>
      </c>
      <c r="B409" s="4">
        <f>31.6798 * CHOOSE(CONTROL!$C$6, $C$13, 100%, $E$13) + CHOOSE(CONTROL!$C$25, 0.0238, 0)</f>
        <v>31.703600000000002</v>
      </c>
      <c r="C409" s="4">
        <f>31.3673 * CHOOSE(CONTROL!$C$6, $C$13, 100%, $E$13) + CHOOSE(CONTROL!$C$25, 0.0238, 0)</f>
        <v>31.391100000000002</v>
      </c>
      <c r="D409" s="4">
        <f>37.8227 * CHOOSE(CONTROL!$C$6, $C$13, 100%, $E$13) + CHOOSE(CONTROL!$C$25, 0, 0)</f>
        <v>37.822699999999998</v>
      </c>
      <c r="E409" s="4">
        <f>184.661825558859 * CHOOSE(CONTROL!$C$6, $C$13, 100%, $E$13) + CHOOSE(CONTROL!$C$25, 0, 0)</f>
        <v>184.66182555885899</v>
      </c>
    </row>
    <row r="410" spans="1:5" ht="15">
      <c r="A410" s="13">
        <v>54362</v>
      </c>
      <c r="B410" s="4">
        <f>30.6895 * CHOOSE(CONTROL!$C$6, $C$13, 100%, $E$13) + CHOOSE(CONTROL!$C$25, 0.0003, 0)</f>
        <v>30.689799999999998</v>
      </c>
      <c r="C410" s="4">
        <f>30.377 * CHOOSE(CONTROL!$C$6, $C$13, 100%, $E$13) + CHOOSE(CONTROL!$C$25, 0.0003, 0)</f>
        <v>30.377299999999998</v>
      </c>
      <c r="D410" s="4">
        <f>37.3237 * CHOOSE(CONTROL!$C$6, $C$13, 100%, $E$13) + CHOOSE(CONTROL!$C$25, 0, 0)</f>
        <v>37.323700000000002</v>
      </c>
      <c r="E410" s="4">
        <f>178.526351743095 * CHOOSE(CONTROL!$C$6, $C$13, 100%, $E$13) + CHOOSE(CONTROL!$C$25, 0, 0)</f>
        <v>178.52635174309501</v>
      </c>
    </row>
    <row r="411" spans="1:5" ht="15">
      <c r="A411" s="13">
        <v>54392</v>
      </c>
      <c r="B411" s="4">
        <f>30.0517 * CHOOSE(CONTROL!$C$6, $C$13, 100%, $E$13) + CHOOSE(CONTROL!$C$25, 0.0003, 0)</f>
        <v>30.052</v>
      </c>
      <c r="C411" s="4">
        <f>29.7392 * CHOOSE(CONTROL!$C$6, $C$13, 100%, $E$13) + CHOOSE(CONTROL!$C$25, 0.0003, 0)</f>
        <v>29.7395</v>
      </c>
      <c r="D411" s="4">
        <f>37.1521 * CHOOSE(CONTROL!$C$6, $C$13, 100%, $E$13) + CHOOSE(CONTROL!$C$25, 0, 0)</f>
        <v>37.152099999999997</v>
      </c>
      <c r="E411" s="4">
        <f>174.574648437244 * CHOOSE(CONTROL!$C$6, $C$13, 100%, $E$13) + CHOOSE(CONTROL!$C$25, 0, 0)</f>
        <v>174.57464843724401</v>
      </c>
    </row>
    <row r="412" spans="1:5" ht="15">
      <c r="A412" s="13">
        <v>54423</v>
      </c>
      <c r="B412" s="4">
        <f>29.6104 * CHOOSE(CONTROL!$C$6, $C$13, 100%, $E$13) + CHOOSE(CONTROL!$C$25, 0.0003, 0)</f>
        <v>29.610699999999998</v>
      </c>
      <c r="C412" s="4">
        <f>29.2979 * CHOOSE(CONTROL!$C$6, $C$13, 100%, $E$13) + CHOOSE(CONTROL!$C$25, 0.0003, 0)</f>
        <v>29.298199999999998</v>
      </c>
      <c r="D412" s="4">
        <f>35.8889 * CHOOSE(CONTROL!$C$6, $C$13, 100%, $E$13) + CHOOSE(CONTROL!$C$25, 0, 0)</f>
        <v>35.8889</v>
      </c>
      <c r="E412" s="4">
        <f>171.840577719018 * CHOOSE(CONTROL!$C$6, $C$13, 100%, $E$13) + CHOOSE(CONTROL!$C$25, 0, 0)</f>
        <v>171.840577719018</v>
      </c>
    </row>
    <row r="413" spans="1:5" ht="15">
      <c r="A413" s="13">
        <v>54454</v>
      </c>
      <c r="B413" s="4">
        <f>28.8934 * CHOOSE(CONTROL!$C$6, $C$13, 100%, $E$13) + CHOOSE(CONTROL!$C$25, 0.0003, 0)</f>
        <v>28.893699999999999</v>
      </c>
      <c r="C413" s="4">
        <f>28.5809 * CHOOSE(CONTROL!$C$6, $C$13, 100%, $E$13) + CHOOSE(CONTROL!$C$25, 0.0003, 0)</f>
        <v>28.581199999999999</v>
      </c>
      <c r="D413" s="4">
        <f>34.728 * CHOOSE(CONTROL!$C$6, $C$13, 100%, $E$13) + CHOOSE(CONTROL!$C$25, 0, 0)</f>
        <v>34.728000000000002</v>
      </c>
      <c r="E413" s="4">
        <f>166.912844782384 * CHOOSE(CONTROL!$C$6, $C$13, 100%, $E$13) + CHOOSE(CONTROL!$C$25, 0, 0)</f>
        <v>166.91284478238401</v>
      </c>
    </row>
    <row r="414" spans="1:5" ht="15">
      <c r="A414" s="13">
        <v>54482</v>
      </c>
      <c r="B414" s="4">
        <f>29.535 * CHOOSE(CONTROL!$C$6, $C$13, 100%, $E$13) + CHOOSE(CONTROL!$C$25, 0.0003, 0)</f>
        <v>29.535299999999999</v>
      </c>
      <c r="C414" s="4">
        <f>29.2225 * CHOOSE(CONTROL!$C$6, $C$13, 100%, $E$13) + CHOOSE(CONTROL!$C$25, 0.0003, 0)</f>
        <v>29.222799999999999</v>
      </c>
      <c r="D414" s="4">
        <f>35.8971 * CHOOSE(CONTROL!$C$6, $C$13, 100%, $E$13) + CHOOSE(CONTROL!$C$25, 0, 0)</f>
        <v>35.897100000000002</v>
      </c>
      <c r="E414" s="4">
        <f>170.876013505924 * CHOOSE(CONTROL!$C$6, $C$13, 100%, $E$13) + CHOOSE(CONTROL!$C$25, 0, 0)</f>
        <v>170.87601350592399</v>
      </c>
    </row>
    <row r="415" spans="1:5" ht="15">
      <c r="A415" s="13">
        <v>54513</v>
      </c>
      <c r="B415" s="4">
        <f>31.2196 * CHOOSE(CONTROL!$C$6, $C$13, 100%, $E$13) + CHOOSE(CONTROL!$C$25, 0.0003, 0)</f>
        <v>31.219899999999999</v>
      </c>
      <c r="C415" s="4">
        <f>30.9071 * CHOOSE(CONTROL!$C$6, $C$13, 100%, $E$13) + CHOOSE(CONTROL!$C$25, 0.0003, 0)</f>
        <v>30.907399999999999</v>
      </c>
      <c r="D415" s="4">
        <f>37.7272 * CHOOSE(CONTROL!$C$6, $C$13, 100%, $E$13) + CHOOSE(CONTROL!$C$25, 0, 0)</f>
        <v>37.727200000000003</v>
      </c>
      <c r="E415" s="4">
        <f>181.283505189516 * CHOOSE(CONTROL!$C$6, $C$13, 100%, $E$13) + CHOOSE(CONTROL!$C$25, 0, 0)</f>
        <v>181.28350518951601</v>
      </c>
    </row>
    <row r="416" spans="1:5" ht="15">
      <c r="A416" s="13">
        <v>54543</v>
      </c>
      <c r="B416" s="4">
        <f>32.4166 * CHOOSE(CONTROL!$C$6, $C$13, 100%, $E$13) + CHOOSE(CONTROL!$C$25, 0.0003, 0)</f>
        <v>32.416900000000005</v>
      </c>
      <c r="C416" s="4">
        <f>32.1041 * CHOOSE(CONTROL!$C$6, $C$13, 100%, $E$13) + CHOOSE(CONTROL!$C$25, 0.0003, 0)</f>
        <v>32.104400000000005</v>
      </c>
      <c r="D416" s="4">
        <f>38.7814 * CHOOSE(CONTROL!$C$6, $C$13, 100%, $E$13) + CHOOSE(CONTROL!$C$25, 0, 0)</f>
        <v>38.781399999999998</v>
      </c>
      <c r="E416" s="4">
        <f>188.678166728771 * CHOOSE(CONTROL!$C$6, $C$13, 100%, $E$13) + CHOOSE(CONTROL!$C$25, 0, 0)</f>
        <v>188.678166728771</v>
      </c>
    </row>
    <row r="417" spans="1:5" ht="15">
      <c r="A417" s="13">
        <v>54574</v>
      </c>
      <c r="B417" s="4">
        <f>33.148 * CHOOSE(CONTROL!$C$6, $C$13, 100%, $E$13) + CHOOSE(CONTROL!$C$25, 0.0238, 0)</f>
        <v>33.171800000000005</v>
      </c>
      <c r="C417" s="4">
        <f>32.8355 * CHOOSE(CONTROL!$C$6, $C$13, 100%, $E$13) + CHOOSE(CONTROL!$C$25, 0.0238, 0)</f>
        <v>32.859300000000005</v>
      </c>
      <c r="D417" s="4">
        <f>38.3648 * CHOOSE(CONTROL!$C$6, $C$13, 100%, $E$13) + CHOOSE(CONTROL!$C$25, 0, 0)</f>
        <v>38.364800000000002</v>
      </c>
      <c r="E417" s="4">
        <f>193.196127703953 * CHOOSE(CONTROL!$C$6, $C$13, 100%, $E$13) + CHOOSE(CONTROL!$C$25, 0, 0)</f>
        <v>193.19612770395301</v>
      </c>
    </row>
    <row r="418" spans="1:5" ht="15">
      <c r="A418" s="13">
        <v>54604</v>
      </c>
      <c r="B418" s="4">
        <f>33.2469 * CHOOSE(CONTROL!$C$6, $C$13, 100%, $E$13) + CHOOSE(CONTROL!$C$25, 0.0238, 0)</f>
        <v>33.270699999999998</v>
      </c>
      <c r="C418" s="4">
        <f>32.9344 * CHOOSE(CONTROL!$C$6, $C$13, 100%, $E$13) + CHOOSE(CONTROL!$C$25, 0.0238, 0)</f>
        <v>32.958199999999998</v>
      </c>
      <c r="D418" s="4">
        <f>38.7041 * CHOOSE(CONTROL!$C$6, $C$13, 100%, $E$13) + CHOOSE(CONTROL!$C$25, 0, 0)</f>
        <v>38.704099999999997</v>
      </c>
      <c r="E418" s="4">
        <f>193.807426573818 * CHOOSE(CONTROL!$C$6, $C$13, 100%, $E$13) + CHOOSE(CONTROL!$C$25, 0, 0)</f>
        <v>193.80742657381799</v>
      </c>
    </row>
    <row r="419" spans="1:5" ht="15">
      <c r="A419" s="13">
        <v>54635</v>
      </c>
      <c r="B419" s="4">
        <f>33.2369 * CHOOSE(CONTROL!$C$6, $C$13, 100%, $E$13) + CHOOSE(CONTROL!$C$25, 0.0238, 0)</f>
        <v>33.2607</v>
      </c>
      <c r="C419" s="4">
        <f>32.9244 * CHOOSE(CONTROL!$C$6, $C$13, 100%, $E$13) + CHOOSE(CONTROL!$C$25, 0.0238, 0)</f>
        <v>32.9482</v>
      </c>
      <c r="D419" s="4">
        <f>39.3163 * CHOOSE(CONTROL!$C$6, $C$13, 100%, $E$13) + CHOOSE(CONTROL!$C$25, 0, 0)</f>
        <v>39.316299999999998</v>
      </c>
      <c r="E419" s="4">
        <f>193.745782990303 * CHOOSE(CONTROL!$C$6, $C$13, 100%, $E$13) + CHOOSE(CONTROL!$C$25, 0, 0)</f>
        <v>193.74578299030301</v>
      </c>
    </row>
    <row r="420" spans="1:5" ht="15">
      <c r="A420" s="13">
        <v>54666</v>
      </c>
      <c r="B420" s="4">
        <f>33.9878 * CHOOSE(CONTROL!$C$6, $C$13, 100%, $E$13) + CHOOSE(CONTROL!$C$25, 0.0238, 0)</f>
        <v>34.011600000000001</v>
      </c>
      <c r="C420" s="4">
        <f>33.6753 * CHOOSE(CONTROL!$C$6, $C$13, 100%, $E$13) + CHOOSE(CONTROL!$C$25, 0.0238, 0)</f>
        <v>33.699100000000001</v>
      </c>
      <c r="D420" s="4">
        <f>38.912 * CHOOSE(CONTROL!$C$6, $C$13, 100%, $E$13) + CHOOSE(CONTROL!$C$25, 0, 0)</f>
        <v>38.911999999999999</v>
      </c>
      <c r="E420" s="4">
        <f>198.38446264987 * CHOOSE(CONTROL!$C$6, $C$13, 100%, $E$13) + CHOOSE(CONTROL!$C$25, 0, 0)</f>
        <v>198.38446264986999</v>
      </c>
    </row>
    <row r="421" spans="1:5" ht="15">
      <c r="A421" s="13">
        <v>54696</v>
      </c>
      <c r="B421" s="4">
        <f>32.7081 * CHOOSE(CONTROL!$C$6, $C$13, 100%, $E$13) + CHOOSE(CONTROL!$C$25, 0.0238, 0)</f>
        <v>32.731900000000003</v>
      </c>
      <c r="C421" s="4">
        <f>32.3956 * CHOOSE(CONTROL!$C$6, $C$13, 100%, $E$13) + CHOOSE(CONTROL!$C$25, 0.0238, 0)</f>
        <v>32.419400000000003</v>
      </c>
      <c r="D421" s="4">
        <f>38.721 * CHOOSE(CONTROL!$C$6, $C$13, 100%, $E$13) + CHOOSE(CONTROL!$C$25, 0, 0)</f>
        <v>38.720999999999997</v>
      </c>
      <c r="E421" s="4">
        <f>190.478673063963 * CHOOSE(CONTROL!$C$6, $C$13, 100%, $E$13) + CHOOSE(CONTROL!$C$25, 0, 0)</f>
        <v>190.47867306396299</v>
      </c>
    </row>
    <row r="422" spans="1:5" ht="15">
      <c r="A422" s="13">
        <v>54727</v>
      </c>
      <c r="B422" s="4">
        <f>31.6836 * CHOOSE(CONTROL!$C$6, $C$13, 100%, $E$13) + CHOOSE(CONTROL!$C$25, 0.0003, 0)</f>
        <v>31.683899999999998</v>
      </c>
      <c r="C422" s="4">
        <f>31.3711 * CHOOSE(CONTROL!$C$6, $C$13, 100%, $E$13) + CHOOSE(CONTROL!$C$25, 0.0003, 0)</f>
        <v>31.371399999999998</v>
      </c>
      <c r="D422" s="4">
        <f>38.2095 * CHOOSE(CONTROL!$C$6, $C$13, 100%, $E$13) + CHOOSE(CONTROL!$C$25, 0, 0)</f>
        <v>38.209499999999998</v>
      </c>
      <c r="E422" s="4">
        <f>184.149931823003 * CHOOSE(CONTROL!$C$6, $C$13, 100%, $E$13) + CHOOSE(CONTROL!$C$25, 0, 0)</f>
        <v>184.14993182300299</v>
      </c>
    </row>
    <row r="423" spans="1:5" ht="15">
      <c r="A423" s="13">
        <v>54757</v>
      </c>
      <c r="B423" s="4">
        <f>31.0238 * CHOOSE(CONTROL!$C$6, $C$13, 100%, $E$13) + CHOOSE(CONTROL!$C$25, 0.0003, 0)</f>
        <v>31.024100000000001</v>
      </c>
      <c r="C423" s="4">
        <f>30.7113 * CHOOSE(CONTROL!$C$6, $C$13, 100%, $E$13) + CHOOSE(CONTROL!$C$25, 0.0003, 0)</f>
        <v>30.711600000000001</v>
      </c>
      <c r="D423" s="4">
        <f>38.0337 * CHOOSE(CONTROL!$C$6, $C$13, 100%, $E$13) + CHOOSE(CONTROL!$C$25, 0, 0)</f>
        <v>38.033700000000003</v>
      </c>
      <c r="E423" s="4">
        <f>180.073749863017 * CHOOSE(CONTROL!$C$6, $C$13, 100%, $E$13) + CHOOSE(CONTROL!$C$25, 0, 0)</f>
        <v>180.07374986301701</v>
      </c>
    </row>
    <row r="424" spans="1:5" ht="15">
      <c r="A424" s="13">
        <v>54788</v>
      </c>
      <c r="B424" s="4">
        <f>30.5673 * CHOOSE(CONTROL!$C$6, $C$13, 100%, $E$13) + CHOOSE(CONTROL!$C$25, 0.0003, 0)</f>
        <v>30.567599999999999</v>
      </c>
      <c r="C424" s="4">
        <f>30.2548 * CHOOSE(CONTROL!$C$6, $C$13, 100%, $E$13) + CHOOSE(CONTROL!$C$25, 0.0003, 0)</f>
        <v>30.255099999999999</v>
      </c>
      <c r="D424" s="4">
        <f>36.7392 * CHOOSE(CONTROL!$C$6, $C$13, 100%, $E$13) + CHOOSE(CONTROL!$C$25, 0, 0)</f>
        <v>36.739199999999997</v>
      </c>
      <c r="E424" s="4">
        <f>177.253555917167 * CHOOSE(CONTROL!$C$6, $C$13, 100%, $E$13) + CHOOSE(CONTROL!$C$25, 0, 0)</f>
        <v>177.25355591716701</v>
      </c>
    </row>
    <row r="425" spans="1:5" ht="15">
      <c r="A425" s="13">
        <v>54819</v>
      </c>
      <c r="B425" s="4">
        <f>29.8256 * CHOOSE(CONTROL!$C$6, $C$13, 100%, $E$13) + CHOOSE(CONTROL!$C$25, 0.0003, 0)</f>
        <v>29.825900000000001</v>
      </c>
      <c r="C425" s="4">
        <f>29.5131 * CHOOSE(CONTROL!$C$6, $C$13, 100%, $E$13) + CHOOSE(CONTROL!$C$25, 0.0003, 0)</f>
        <v>29.513400000000001</v>
      </c>
      <c r="D425" s="4">
        <f>35.5494 * CHOOSE(CONTROL!$C$6, $C$13, 100%, $E$13) + CHOOSE(CONTROL!$C$25, 0, 0)</f>
        <v>35.549399999999999</v>
      </c>
      <c r="E425" s="4">
        <f>172.170599393029 * CHOOSE(CONTROL!$C$6, $C$13, 100%, $E$13) + CHOOSE(CONTROL!$C$25, 0, 0)</f>
        <v>172.17059939302899</v>
      </c>
    </row>
    <row r="426" spans="1:5" ht="15">
      <c r="A426" s="13">
        <v>54847</v>
      </c>
      <c r="B426" s="4">
        <f>30.4892 * CHOOSE(CONTROL!$C$6, $C$13, 100%, $E$13) + CHOOSE(CONTROL!$C$25, 0.0003, 0)</f>
        <v>30.4895</v>
      </c>
      <c r="C426" s="4">
        <f>30.1767 * CHOOSE(CONTROL!$C$6, $C$13, 100%, $E$13) + CHOOSE(CONTROL!$C$25, 0.0003, 0)</f>
        <v>30.177</v>
      </c>
      <c r="D426" s="4">
        <f>36.7475 * CHOOSE(CONTROL!$C$6, $C$13, 100%, $E$13) + CHOOSE(CONTROL!$C$25, 0, 0)</f>
        <v>36.747500000000002</v>
      </c>
      <c r="E426" s="4">
        <f>176.258607931361 * CHOOSE(CONTROL!$C$6, $C$13, 100%, $E$13) + CHOOSE(CONTROL!$C$25, 0, 0)</f>
        <v>176.25860793136101</v>
      </c>
    </row>
    <row r="427" spans="1:5" ht="15">
      <c r="A427" s="13">
        <v>54878</v>
      </c>
      <c r="B427" s="4">
        <f>32.232 * CHOOSE(CONTROL!$C$6, $C$13, 100%, $E$13) + CHOOSE(CONTROL!$C$25, 0.0003, 0)</f>
        <v>32.232300000000002</v>
      </c>
      <c r="C427" s="4">
        <f>31.9195 * CHOOSE(CONTROL!$C$6, $C$13, 100%, $E$13) + CHOOSE(CONTROL!$C$25, 0.0003, 0)</f>
        <v>31.919799999999999</v>
      </c>
      <c r="D427" s="4">
        <f>38.6231 * CHOOSE(CONTROL!$C$6, $C$13, 100%, $E$13) + CHOOSE(CONTROL!$C$25, 0, 0)</f>
        <v>38.623100000000001</v>
      </c>
      <c r="E427" s="4">
        <f>186.993935602986 * CHOOSE(CONTROL!$C$6, $C$13, 100%, $E$13) + CHOOSE(CONTROL!$C$25, 0, 0)</f>
        <v>186.993935602986</v>
      </c>
    </row>
    <row r="428" spans="1:5" ht="15">
      <c r="A428" s="13">
        <v>54908</v>
      </c>
      <c r="B428" s="4">
        <f>33.4703 * CHOOSE(CONTROL!$C$6, $C$13, 100%, $E$13) + CHOOSE(CONTROL!$C$25, 0.0003, 0)</f>
        <v>33.470600000000005</v>
      </c>
      <c r="C428" s="4">
        <f>33.1578 * CHOOSE(CONTROL!$C$6, $C$13, 100%, $E$13) + CHOOSE(CONTROL!$C$25, 0.0003, 0)</f>
        <v>33.158100000000005</v>
      </c>
      <c r="D428" s="4">
        <f>39.7034 * CHOOSE(CONTROL!$C$6, $C$13, 100%, $E$13) + CHOOSE(CONTROL!$C$25, 0, 0)</f>
        <v>39.703400000000002</v>
      </c>
      <c r="E428" s="4">
        <f>194.621528980727 * CHOOSE(CONTROL!$C$6, $C$13, 100%, $E$13) + CHOOSE(CONTROL!$C$25, 0, 0)</f>
        <v>194.62152898072699</v>
      </c>
    </row>
    <row r="429" spans="1:5" ht="15">
      <c r="A429" s="13">
        <v>54939</v>
      </c>
      <c r="B429" s="4">
        <f>34.2269 * CHOOSE(CONTROL!$C$6, $C$13, 100%, $E$13) + CHOOSE(CONTROL!$C$25, 0.0238, 0)</f>
        <v>34.250700000000002</v>
      </c>
      <c r="C429" s="4">
        <f>33.9144 * CHOOSE(CONTROL!$C$6, $C$13, 100%, $E$13) + CHOOSE(CONTROL!$C$25, 0.0238, 0)</f>
        <v>33.938200000000002</v>
      </c>
      <c r="D429" s="4">
        <f>39.2765 * CHOOSE(CONTROL!$C$6, $C$13, 100%, $E$13) + CHOOSE(CONTROL!$C$25, 0, 0)</f>
        <v>39.276499999999999</v>
      </c>
      <c r="E429" s="4">
        <f>199.281805726627 * CHOOSE(CONTROL!$C$6, $C$13, 100%, $E$13) + CHOOSE(CONTROL!$C$25, 0, 0)</f>
        <v>199.281805726627</v>
      </c>
    </row>
    <row r="430" spans="1:5" ht="15">
      <c r="A430" s="13">
        <v>54969</v>
      </c>
      <c r="B430" s="4">
        <f>34.3292 * CHOOSE(CONTROL!$C$6, $C$13, 100%, $E$13) + CHOOSE(CONTROL!$C$25, 0.0238, 0)</f>
        <v>34.353000000000002</v>
      </c>
      <c r="C430" s="4">
        <f>34.0167 * CHOOSE(CONTROL!$C$6, $C$13, 100%, $E$13) + CHOOSE(CONTROL!$C$25, 0.0238, 0)</f>
        <v>34.040500000000002</v>
      </c>
      <c r="D430" s="4">
        <f>39.6242 * CHOOSE(CONTROL!$C$6, $C$13, 100%, $E$13) + CHOOSE(CONTROL!$C$25, 0, 0)</f>
        <v>39.624200000000002</v>
      </c>
      <c r="E430" s="4">
        <f>199.912360510894 * CHOOSE(CONTROL!$C$6, $C$13, 100%, $E$13) + CHOOSE(CONTROL!$C$25, 0, 0)</f>
        <v>199.91236051089399</v>
      </c>
    </row>
    <row r="431" spans="1:5" ht="15">
      <c r="A431" s="13">
        <v>55000</v>
      </c>
      <c r="B431" s="4">
        <f>34.3189 * CHOOSE(CONTROL!$C$6, $C$13, 100%, $E$13) + CHOOSE(CONTROL!$C$25, 0.0238, 0)</f>
        <v>34.342700000000001</v>
      </c>
      <c r="C431" s="4">
        <f>34.0064 * CHOOSE(CONTROL!$C$6, $C$13, 100%, $E$13) + CHOOSE(CONTROL!$C$25, 0.0238, 0)</f>
        <v>34.030200000000001</v>
      </c>
      <c r="D431" s="4">
        <f>40.2515 * CHOOSE(CONTROL!$C$6, $C$13, 100%, $E$13) + CHOOSE(CONTROL!$C$25, 0, 0)</f>
        <v>40.2515</v>
      </c>
      <c r="E431" s="4">
        <f>199.848775154497 * CHOOSE(CONTROL!$C$6, $C$13, 100%, $E$13) + CHOOSE(CONTROL!$C$25, 0, 0)</f>
        <v>199.84877515449699</v>
      </c>
    </row>
    <row r="432" spans="1:5" ht="15">
      <c r="A432" s="13">
        <v>55031</v>
      </c>
      <c r="B432" s="4">
        <f>35.0957 * CHOOSE(CONTROL!$C$6, $C$13, 100%, $E$13) + CHOOSE(CONTROL!$C$25, 0.0238, 0)</f>
        <v>35.119500000000002</v>
      </c>
      <c r="C432" s="4">
        <f>34.7832 * CHOOSE(CONTROL!$C$6, $C$13, 100%, $E$13) + CHOOSE(CONTROL!$C$25, 0.0238, 0)</f>
        <v>34.807000000000002</v>
      </c>
      <c r="D432" s="4">
        <f>39.8372 * CHOOSE(CONTROL!$C$6, $C$13, 100%, $E$13) + CHOOSE(CONTROL!$C$25, 0, 0)</f>
        <v>39.837200000000003</v>
      </c>
      <c r="E432" s="4">
        <f>204.633573223341 * CHOOSE(CONTROL!$C$6, $C$13, 100%, $E$13) + CHOOSE(CONTROL!$C$25, 0, 0)</f>
        <v>204.63357322334099</v>
      </c>
    </row>
    <row r="433" spans="1:5" ht="15">
      <c r="A433" s="13">
        <v>55061</v>
      </c>
      <c r="B433" s="4">
        <f>33.7718 * CHOOSE(CONTROL!$C$6, $C$13, 100%, $E$13) + CHOOSE(CONTROL!$C$25, 0.0238, 0)</f>
        <v>33.7956</v>
      </c>
      <c r="C433" s="4">
        <f>33.4593 * CHOOSE(CONTROL!$C$6, $C$13, 100%, $E$13) + CHOOSE(CONTROL!$C$25, 0.0238, 0)</f>
        <v>33.4831</v>
      </c>
      <c r="D433" s="4">
        <f>39.6415 * CHOOSE(CONTROL!$C$6, $C$13, 100%, $E$13) + CHOOSE(CONTROL!$C$25, 0, 0)</f>
        <v>39.641500000000001</v>
      </c>
      <c r="E433" s="4">
        <f>196.478751265478 * CHOOSE(CONTROL!$C$6, $C$13, 100%, $E$13) + CHOOSE(CONTROL!$C$25, 0, 0)</f>
        <v>196.478751265478</v>
      </c>
    </row>
    <row r="434" spans="1:5" ht="15">
      <c r="A434" s="13">
        <v>55092</v>
      </c>
      <c r="B434" s="4">
        <f>32.712 * CHOOSE(CONTROL!$C$6, $C$13, 100%, $E$13) + CHOOSE(CONTROL!$C$25, 0.0003, 0)</f>
        <v>32.712300000000006</v>
      </c>
      <c r="C434" s="4">
        <f>32.3995 * CHOOSE(CONTROL!$C$6, $C$13, 100%, $E$13) + CHOOSE(CONTROL!$C$25, 0.0003, 0)</f>
        <v>32.399800000000006</v>
      </c>
      <c r="D434" s="4">
        <f>39.1174 * CHOOSE(CONTROL!$C$6, $C$13, 100%, $E$13) + CHOOSE(CONTROL!$C$25, 0, 0)</f>
        <v>39.117400000000004</v>
      </c>
      <c r="E434" s="4">
        <f>189.950654675427 * CHOOSE(CONTROL!$C$6, $C$13, 100%, $E$13) + CHOOSE(CONTROL!$C$25, 0, 0)</f>
        <v>189.95065467542699</v>
      </c>
    </row>
    <row r="435" spans="1:5" ht="15">
      <c r="A435" s="13">
        <v>55122</v>
      </c>
      <c r="B435" s="4">
        <f>32.0294 * CHOOSE(CONTROL!$C$6, $C$13, 100%, $E$13) + CHOOSE(CONTROL!$C$25, 0.0003, 0)</f>
        <v>32.029700000000005</v>
      </c>
      <c r="C435" s="4">
        <f>31.7169 * CHOOSE(CONTROL!$C$6, $C$13, 100%, $E$13) + CHOOSE(CONTROL!$C$25, 0.0003, 0)</f>
        <v>31.717199999999998</v>
      </c>
      <c r="D435" s="4">
        <f>38.9372 * CHOOSE(CONTROL!$C$6, $C$13, 100%, $E$13) + CHOOSE(CONTROL!$C$25, 0, 0)</f>
        <v>38.937199999999997</v>
      </c>
      <c r="E435" s="4">
        <f>185.746072983702 * CHOOSE(CONTROL!$C$6, $C$13, 100%, $E$13) + CHOOSE(CONTROL!$C$25, 0, 0)</f>
        <v>185.74607298370199</v>
      </c>
    </row>
    <row r="436" spans="1:5" ht="15">
      <c r="A436" s="13">
        <v>55153</v>
      </c>
      <c r="B436" s="4">
        <f>31.5572 * CHOOSE(CONTROL!$C$6, $C$13, 100%, $E$13) + CHOOSE(CONTROL!$C$25, 0.0003, 0)</f>
        <v>31.557500000000001</v>
      </c>
      <c r="C436" s="4">
        <f>31.2447 * CHOOSE(CONTROL!$C$6, $C$13, 100%, $E$13) + CHOOSE(CONTROL!$C$25, 0.0003, 0)</f>
        <v>31.245000000000001</v>
      </c>
      <c r="D436" s="4">
        <f>37.6106 * CHOOSE(CONTROL!$C$6, $C$13, 100%, $E$13) + CHOOSE(CONTROL!$C$25, 0, 0)</f>
        <v>37.610599999999998</v>
      </c>
      <c r="E436" s="4">
        <f>182.837042928558 * CHOOSE(CONTROL!$C$6, $C$13, 100%, $E$13) + CHOOSE(CONTROL!$C$25, 0, 0)</f>
        <v>182.83704292855799</v>
      </c>
    </row>
    <row r="437" spans="1:5" ht="15">
      <c r="A437" s="13">
        <v>55184</v>
      </c>
      <c r="B437" s="4">
        <f>30.7899 * CHOOSE(CONTROL!$C$6, $C$13, 100%, $E$13) + CHOOSE(CONTROL!$C$25, 0.0003, 0)</f>
        <v>30.790199999999999</v>
      </c>
      <c r="C437" s="4">
        <f>30.4774 * CHOOSE(CONTROL!$C$6, $C$13, 100%, $E$13) + CHOOSE(CONTROL!$C$25, 0.0003, 0)</f>
        <v>30.477699999999999</v>
      </c>
      <c r="D437" s="4">
        <f>36.3913 * CHOOSE(CONTROL!$C$6, $C$13, 100%, $E$13) + CHOOSE(CONTROL!$C$25, 0, 0)</f>
        <v>36.391300000000001</v>
      </c>
      <c r="E437" s="4">
        <f>177.59397327391 * CHOOSE(CONTROL!$C$6, $C$13, 100%, $E$13) + CHOOSE(CONTROL!$C$25, 0, 0)</f>
        <v>177.59397327391</v>
      </c>
    </row>
    <row r="438" spans="1:5" ht="15">
      <c r="A438" s="13">
        <v>55212</v>
      </c>
      <c r="B438" s="4">
        <f>31.4764 * CHOOSE(CONTROL!$C$6, $C$13, 100%, $E$13) + CHOOSE(CONTROL!$C$25, 0.0003, 0)</f>
        <v>31.476700000000001</v>
      </c>
      <c r="C438" s="4">
        <f>31.1639 * CHOOSE(CONTROL!$C$6, $C$13, 100%, $E$13) + CHOOSE(CONTROL!$C$25, 0.0003, 0)</f>
        <v>31.164200000000001</v>
      </c>
      <c r="D438" s="4">
        <f>37.6191 * CHOOSE(CONTROL!$C$6, $C$13, 100%, $E$13) + CHOOSE(CONTROL!$C$25, 0, 0)</f>
        <v>37.619100000000003</v>
      </c>
      <c r="E438" s="4">
        <f>181.810754081198 * CHOOSE(CONTROL!$C$6, $C$13, 100%, $E$13) + CHOOSE(CONTROL!$C$25, 0, 0)</f>
        <v>181.81075408119801</v>
      </c>
    </row>
    <row r="439" spans="1:5" ht="15">
      <c r="A439" s="13">
        <v>55243</v>
      </c>
      <c r="B439" s="4">
        <f>33.2793 * CHOOSE(CONTROL!$C$6, $C$13, 100%, $E$13) + CHOOSE(CONTROL!$C$25, 0.0003, 0)</f>
        <v>33.279600000000002</v>
      </c>
      <c r="C439" s="4">
        <f>32.9668 * CHOOSE(CONTROL!$C$6, $C$13, 100%, $E$13) + CHOOSE(CONTROL!$C$25, 0.0003, 0)</f>
        <v>32.967100000000002</v>
      </c>
      <c r="D439" s="4">
        <f>39.5412 * CHOOSE(CONTROL!$C$6, $C$13, 100%, $E$13) + CHOOSE(CONTROL!$C$25, 0, 0)</f>
        <v>39.541200000000003</v>
      </c>
      <c r="E439" s="4">
        <f>192.88424457448 * CHOOSE(CONTROL!$C$6, $C$13, 100%, $E$13) + CHOOSE(CONTROL!$C$25, 0, 0)</f>
        <v>192.88424457447999</v>
      </c>
    </row>
    <row r="440" spans="1:5" ht="15">
      <c r="A440" s="13">
        <v>55273</v>
      </c>
      <c r="B440" s="4">
        <f>34.5603 * CHOOSE(CONTROL!$C$6, $C$13, 100%, $E$13) + CHOOSE(CONTROL!$C$25, 0.0003, 0)</f>
        <v>34.560600000000001</v>
      </c>
      <c r="C440" s="4">
        <f>34.2478 * CHOOSE(CONTROL!$C$6, $C$13, 100%, $E$13) + CHOOSE(CONTROL!$C$25, 0.0003, 0)</f>
        <v>34.248100000000001</v>
      </c>
      <c r="D440" s="4">
        <f>40.6483 * CHOOSE(CONTROL!$C$6, $C$13, 100%, $E$13) + CHOOSE(CONTROL!$C$25, 0, 0)</f>
        <v>40.648299999999999</v>
      </c>
      <c r="E440" s="4">
        <f>200.75210714362 * CHOOSE(CONTROL!$C$6, $C$13, 100%, $E$13) + CHOOSE(CONTROL!$C$25, 0, 0)</f>
        <v>200.75210714362001</v>
      </c>
    </row>
    <row r="441" spans="1:5" ht="15">
      <c r="A441" s="13">
        <v>55304</v>
      </c>
      <c r="B441" s="4">
        <f>35.343 * CHOOSE(CONTROL!$C$6, $C$13, 100%, $E$13) + CHOOSE(CONTROL!$C$25, 0.0238, 0)</f>
        <v>35.366800000000005</v>
      </c>
      <c r="C441" s="4">
        <f>35.0305 * CHOOSE(CONTROL!$C$6, $C$13, 100%, $E$13) + CHOOSE(CONTROL!$C$25, 0.0238, 0)</f>
        <v>35.054300000000005</v>
      </c>
      <c r="D441" s="4">
        <f>40.2108 * CHOOSE(CONTROL!$C$6, $C$13, 100%, $E$13) + CHOOSE(CONTROL!$C$25, 0, 0)</f>
        <v>40.210799999999999</v>
      </c>
      <c r="E441" s="4">
        <f>205.559182607016 * CHOOSE(CONTROL!$C$6, $C$13, 100%, $E$13) + CHOOSE(CONTROL!$C$25, 0, 0)</f>
        <v>205.559182607016</v>
      </c>
    </row>
    <row r="442" spans="1:5" ht="15">
      <c r="A442" s="13">
        <v>55334</v>
      </c>
      <c r="B442" s="4">
        <f>35.4489 * CHOOSE(CONTROL!$C$6, $C$13, 100%, $E$13) + CHOOSE(CONTROL!$C$25, 0.0238, 0)</f>
        <v>35.472700000000003</v>
      </c>
      <c r="C442" s="4">
        <f>35.1364 * CHOOSE(CONTROL!$C$6, $C$13, 100%, $E$13) + CHOOSE(CONTROL!$C$25, 0.0238, 0)</f>
        <v>35.160200000000003</v>
      </c>
      <c r="D442" s="4">
        <f>40.5671 * CHOOSE(CONTROL!$C$6, $C$13, 100%, $E$13) + CHOOSE(CONTROL!$C$25, 0, 0)</f>
        <v>40.567100000000003</v>
      </c>
      <c r="E442" s="4">
        <f>206.209599866987 * CHOOSE(CONTROL!$C$6, $C$13, 100%, $E$13) + CHOOSE(CONTROL!$C$25, 0, 0)</f>
        <v>206.20959986698699</v>
      </c>
    </row>
    <row r="443" spans="1:5" ht="15">
      <c r="A443" s="13">
        <v>55365</v>
      </c>
      <c r="B443" s="4">
        <f>35.4382 * CHOOSE(CONTROL!$C$6, $C$13, 100%, $E$13) + CHOOSE(CONTROL!$C$25, 0.0238, 0)</f>
        <v>35.462000000000003</v>
      </c>
      <c r="C443" s="4">
        <f>35.1257 * CHOOSE(CONTROL!$C$6, $C$13, 100%, $E$13) + CHOOSE(CONTROL!$C$25, 0.0238, 0)</f>
        <v>35.149500000000003</v>
      </c>
      <c r="D443" s="4">
        <f>41.21 * CHOOSE(CONTROL!$C$6, $C$13, 100%, $E$13) + CHOOSE(CONTROL!$C$25, 0, 0)</f>
        <v>41.21</v>
      </c>
      <c r="E443" s="4">
        <f>206.144011571864 * CHOOSE(CONTROL!$C$6, $C$13, 100%, $E$13) + CHOOSE(CONTROL!$C$25, 0, 0)</f>
        <v>206.14401157186401</v>
      </c>
    </row>
    <row r="444" spans="1:5" ht="15">
      <c r="A444" s="13">
        <v>55396</v>
      </c>
      <c r="B444" s="4">
        <f>36.2418 * CHOOSE(CONTROL!$C$6, $C$13, 100%, $E$13) + CHOOSE(CONTROL!$C$25, 0.0238, 0)</f>
        <v>36.265599999999999</v>
      </c>
      <c r="C444" s="4">
        <f>35.9293 * CHOOSE(CONTROL!$C$6, $C$13, 100%, $E$13) + CHOOSE(CONTROL!$C$25, 0.0238, 0)</f>
        <v>35.953099999999999</v>
      </c>
      <c r="D444" s="4">
        <f>40.7854 * CHOOSE(CONTROL!$C$6, $C$13, 100%, $E$13) + CHOOSE(CONTROL!$C$25, 0, 0)</f>
        <v>40.785400000000003</v>
      </c>
      <c r="E444" s="4">
        <f>211.079530779876 * CHOOSE(CONTROL!$C$6, $C$13, 100%, $E$13) + CHOOSE(CONTROL!$C$25, 0, 0)</f>
        <v>211.07953077987599</v>
      </c>
    </row>
    <row r="445" spans="1:5" ht="15">
      <c r="A445" s="13">
        <v>55426</v>
      </c>
      <c r="B445" s="4">
        <f>34.8723 * CHOOSE(CONTROL!$C$6, $C$13, 100%, $E$13) + CHOOSE(CONTROL!$C$25, 0.0238, 0)</f>
        <v>34.896100000000004</v>
      </c>
      <c r="C445" s="4">
        <f>34.5598 * CHOOSE(CONTROL!$C$6, $C$13, 100%, $E$13) + CHOOSE(CONTROL!$C$25, 0.0238, 0)</f>
        <v>34.583600000000004</v>
      </c>
      <c r="D445" s="4">
        <f>40.5848 * CHOOSE(CONTROL!$C$6, $C$13, 100%, $E$13) + CHOOSE(CONTROL!$C$25, 0, 0)</f>
        <v>40.584800000000001</v>
      </c>
      <c r="E445" s="4">
        <f>202.66783193034 * CHOOSE(CONTROL!$C$6, $C$13, 100%, $E$13) + CHOOSE(CONTROL!$C$25, 0, 0)</f>
        <v>202.66783193033999</v>
      </c>
    </row>
    <row r="446" spans="1:5" ht="15">
      <c r="A446" s="13">
        <v>55457</v>
      </c>
      <c r="B446" s="4">
        <f>33.7759 * CHOOSE(CONTROL!$C$6, $C$13, 100%, $E$13) + CHOOSE(CONTROL!$C$25, 0.0003, 0)</f>
        <v>33.776200000000003</v>
      </c>
      <c r="C446" s="4">
        <f>33.4634 * CHOOSE(CONTROL!$C$6, $C$13, 100%, $E$13) + CHOOSE(CONTROL!$C$25, 0.0003, 0)</f>
        <v>33.463700000000003</v>
      </c>
      <c r="D446" s="4">
        <f>40.0477 * CHOOSE(CONTROL!$C$6, $C$13, 100%, $E$13) + CHOOSE(CONTROL!$C$25, 0, 0)</f>
        <v>40.047699999999999</v>
      </c>
      <c r="E446" s="4">
        <f>195.934100297703 * CHOOSE(CONTROL!$C$6, $C$13, 100%, $E$13) + CHOOSE(CONTROL!$C$25, 0, 0)</f>
        <v>195.934100297703</v>
      </c>
    </row>
    <row r="447" spans="1:5" ht="15">
      <c r="A447" s="13">
        <v>55487</v>
      </c>
      <c r="B447" s="4">
        <f>33.0698 * CHOOSE(CONTROL!$C$6, $C$13, 100%, $E$13) + CHOOSE(CONTROL!$C$25, 0.0003, 0)</f>
        <v>33.070100000000004</v>
      </c>
      <c r="C447" s="4">
        <f>32.7573 * CHOOSE(CONTROL!$C$6, $C$13, 100%, $E$13) + CHOOSE(CONTROL!$C$25, 0.0003, 0)</f>
        <v>32.757600000000004</v>
      </c>
      <c r="D447" s="4">
        <f>39.8631 * CHOOSE(CONTROL!$C$6, $C$13, 100%, $E$13) + CHOOSE(CONTROL!$C$25, 0, 0)</f>
        <v>39.863100000000003</v>
      </c>
      <c r="E447" s="4">
        <f>191.597074282689 * CHOOSE(CONTROL!$C$6, $C$13, 100%, $E$13) + CHOOSE(CONTROL!$C$25, 0, 0)</f>
        <v>191.59707428268899</v>
      </c>
    </row>
    <row r="448" spans="1:5" ht="15">
      <c r="A448" s="13">
        <v>55518</v>
      </c>
      <c r="B448" s="4">
        <f>32.5812 * CHOOSE(CONTROL!$C$6, $C$13, 100%, $E$13) + CHOOSE(CONTROL!$C$25, 0.0003, 0)</f>
        <v>32.581500000000005</v>
      </c>
      <c r="C448" s="4">
        <f>32.2687 * CHOOSE(CONTROL!$C$6, $C$13, 100%, $E$13) + CHOOSE(CONTROL!$C$25, 0.0003, 0)</f>
        <v>32.269000000000005</v>
      </c>
      <c r="D448" s="4">
        <f>38.5036 * CHOOSE(CONTROL!$C$6, $C$13, 100%, $E$13) + CHOOSE(CONTROL!$C$25, 0, 0)</f>
        <v>38.503599999999999</v>
      </c>
      <c r="E448" s="4">
        <f>188.596409780808 * CHOOSE(CONTROL!$C$6, $C$13, 100%, $E$13) + CHOOSE(CONTROL!$C$25, 0, 0)</f>
        <v>188.59640978080799</v>
      </c>
    </row>
    <row r="449" spans="1:5" ht="15">
      <c r="A449" s="13">
        <v>55549</v>
      </c>
      <c r="B449" s="4">
        <f>31.7874 * CHOOSE(CONTROL!$C$6, $C$13, 100%, $E$13) + CHOOSE(CONTROL!$C$25, 0.0003, 0)</f>
        <v>31.787700000000001</v>
      </c>
      <c r="C449" s="4">
        <f>31.4749 * CHOOSE(CONTROL!$C$6, $C$13, 100%, $E$13) + CHOOSE(CONTROL!$C$25, 0.0003, 0)</f>
        <v>31.475200000000001</v>
      </c>
      <c r="D449" s="4">
        <f>37.2541 * CHOOSE(CONTROL!$C$6, $C$13, 100%, $E$13) + CHOOSE(CONTROL!$C$25, 0, 0)</f>
        <v>37.254100000000001</v>
      </c>
      <c r="E449" s="4">
        <f>183.188183432038 * CHOOSE(CONTROL!$C$6, $C$13, 100%, $E$13) + CHOOSE(CONTROL!$C$25, 0, 0)</f>
        <v>183.18818343203799</v>
      </c>
    </row>
    <row r="450" spans="1:5" ht="15">
      <c r="A450" s="13">
        <v>55577</v>
      </c>
      <c r="B450" s="4">
        <f>32.4977 * CHOOSE(CONTROL!$C$6, $C$13, 100%, $E$13) + CHOOSE(CONTROL!$C$25, 0.0003, 0)</f>
        <v>32.498000000000005</v>
      </c>
      <c r="C450" s="4">
        <f>32.1852 * CHOOSE(CONTROL!$C$6, $C$13, 100%, $E$13) + CHOOSE(CONTROL!$C$25, 0.0003, 0)</f>
        <v>32.185500000000005</v>
      </c>
      <c r="D450" s="4">
        <f>38.5123 * CHOOSE(CONTROL!$C$6, $C$13, 100%, $E$13) + CHOOSE(CONTROL!$C$25, 0, 0)</f>
        <v>38.512300000000003</v>
      </c>
      <c r="E450" s="4">
        <f>187.537792834756 * CHOOSE(CONTROL!$C$6, $C$13, 100%, $E$13) + CHOOSE(CONTROL!$C$25, 0, 0)</f>
        <v>187.537792834756</v>
      </c>
    </row>
    <row r="451" spans="1:5" ht="15">
      <c r="A451" s="13">
        <v>55609</v>
      </c>
      <c r="B451" s="4">
        <f>34.3628 * CHOOSE(CONTROL!$C$6, $C$13, 100%, $E$13) + CHOOSE(CONTROL!$C$25, 0.0003, 0)</f>
        <v>34.363100000000003</v>
      </c>
      <c r="C451" s="4">
        <f>34.0503 * CHOOSE(CONTROL!$C$6, $C$13, 100%, $E$13) + CHOOSE(CONTROL!$C$25, 0.0003, 0)</f>
        <v>34.050600000000003</v>
      </c>
      <c r="D451" s="4">
        <f>40.482 * CHOOSE(CONTROL!$C$6, $C$13, 100%, $E$13) + CHOOSE(CONTROL!$C$25, 0, 0)</f>
        <v>40.481999999999999</v>
      </c>
      <c r="E451" s="4">
        <f>198.960098278576 * CHOOSE(CONTROL!$C$6, $C$13, 100%, $E$13) + CHOOSE(CONTROL!$C$25, 0, 0)</f>
        <v>198.960098278576</v>
      </c>
    </row>
    <row r="452" spans="1:5" ht="15">
      <c r="A452" s="13">
        <v>55639</v>
      </c>
      <c r="B452" s="4">
        <f>35.688 * CHOOSE(CONTROL!$C$6, $C$13, 100%, $E$13) + CHOOSE(CONTROL!$C$25, 0.0003, 0)</f>
        <v>35.688300000000005</v>
      </c>
      <c r="C452" s="4">
        <f>35.3755 * CHOOSE(CONTROL!$C$6, $C$13, 100%, $E$13) + CHOOSE(CONTROL!$C$25, 0.0003, 0)</f>
        <v>35.375800000000005</v>
      </c>
      <c r="D452" s="4">
        <f>41.6166 * CHOOSE(CONTROL!$C$6, $C$13, 100%, $E$13) + CHOOSE(CONTROL!$C$25, 0, 0)</f>
        <v>41.616599999999998</v>
      </c>
      <c r="E452" s="4">
        <f>207.075798518644 * CHOOSE(CONTROL!$C$6, $C$13, 100%, $E$13) + CHOOSE(CONTROL!$C$25, 0, 0)</f>
        <v>207.07579851864401</v>
      </c>
    </row>
    <row r="453" spans="1:5" ht="15">
      <c r="A453" s="13">
        <v>55670</v>
      </c>
      <c r="B453" s="4">
        <f>36.4977 * CHOOSE(CONTROL!$C$6, $C$13, 100%, $E$13) + CHOOSE(CONTROL!$C$25, 0.0238, 0)</f>
        <v>36.521500000000003</v>
      </c>
      <c r="C453" s="4">
        <f>36.1852 * CHOOSE(CONTROL!$C$6, $C$13, 100%, $E$13) + CHOOSE(CONTROL!$C$25, 0.0238, 0)</f>
        <v>36.209000000000003</v>
      </c>
      <c r="D453" s="4">
        <f>41.1683 * CHOOSE(CONTROL!$C$6, $C$13, 100%, $E$13) + CHOOSE(CONTROL!$C$25, 0, 0)</f>
        <v>41.168300000000002</v>
      </c>
      <c r="E453" s="4">
        <f>212.034296859137 * CHOOSE(CONTROL!$C$6, $C$13, 100%, $E$13) + CHOOSE(CONTROL!$C$25, 0, 0)</f>
        <v>212.03429685913699</v>
      </c>
    </row>
    <row r="454" spans="1:5" ht="15">
      <c r="A454" s="13">
        <v>55700</v>
      </c>
      <c r="B454" s="4">
        <f>36.6072 * CHOOSE(CONTROL!$C$6, $C$13, 100%, $E$13) + CHOOSE(CONTROL!$C$25, 0.0238, 0)</f>
        <v>36.631</v>
      </c>
      <c r="C454" s="4">
        <f>36.2947 * CHOOSE(CONTROL!$C$6, $C$13, 100%, $E$13) + CHOOSE(CONTROL!$C$25, 0.0238, 0)</f>
        <v>36.3185</v>
      </c>
      <c r="D454" s="4">
        <f>41.5334 * CHOOSE(CONTROL!$C$6, $C$13, 100%, $E$13) + CHOOSE(CONTROL!$C$25, 0, 0)</f>
        <v>41.5334</v>
      </c>
      <c r="E454" s="4">
        <f>212.705202262797 * CHOOSE(CONTROL!$C$6, $C$13, 100%, $E$13) + CHOOSE(CONTROL!$C$25, 0, 0)</f>
        <v>212.705202262797</v>
      </c>
    </row>
    <row r="455" spans="1:5" ht="15">
      <c r="A455" s="13">
        <v>55731</v>
      </c>
      <c r="B455" s="4">
        <f>36.5962 * CHOOSE(CONTROL!$C$6, $C$13, 100%, $E$13) + CHOOSE(CONTROL!$C$25, 0.0238, 0)</f>
        <v>36.620000000000005</v>
      </c>
      <c r="C455" s="4">
        <f>36.2837 * CHOOSE(CONTROL!$C$6, $C$13, 100%, $E$13) + CHOOSE(CONTROL!$C$25, 0.0238, 0)</f>
        <v>36.307500000000005</v>
      </c>
      <c r="D455" s="4">
        <f>42.1923 * CHOOSE(CONTROL!$C$6, $C$13, 100%, $E$13) + CHOOSE(CONTROL!$C$25, 0, 0)</f>
        <v>42.192300000000003</v>
      </c>
      <c r="E455" s="4">
        <f>212.637547936377 * CHOOSE(CONTROL!$C$6, $C$13, 100%, $E$13) + CHOOSE(CONTROL!$C$25, 0, 0)</f>
        <v>212.63754793637699</v>
      </c>
    </row>
    <row r="456" spans="1:5" ht="15">
      <c r="A456" s="13">
        <v>55762</v>
      </c>
      <c r="B456" s="4">
        <f>37.4275 * CHOOSE(CONTROL!$C$6, $C$13, 100%, $E$13) + CHOOSE(CONTROL!$C$25, 0.0238, 0)</f>
        <v>37.451300000000003</v>
      </c>
      <c r="C456" s="4">
        <f>37.115 * CHOOSE(CONTROL!$C$6, $C$13, 100%, $E$13) + CHOOSE(CONTROL!$C$25, 0.0238, 0)</f>
        <v>37.138800000000003</v>
      </c>
      <c r="D456" s="4">
        <f>41.7572 * CHOOSE(CONTROL!$C$6, $C$13, 100%, $E$13) + CHOOSE(CONTROL!$C$25, 0, 0)</f>
        <v>41.757199999999997</v>
      </c>
      <c r="E456" s="4">
        <f>217.728535999442 * CHOOSE(CONTROL!$C$6, $C$13, 100%, $E$13) + CHOOSE(CONTROL!$C$25, 0, 0)</f>
        <v>217.72853599944199</v>
      </c>
    </row>
    <row r="457" spans="1:5" ht="15">
      <c r="A457" s="13">
        <v>55792</v>
      </c>
      <c r="B457" s="4">
        <f>36.0107 * CHOOSE(CONTROL!$C$6, $C$13, 100%, $E$13) + CHOOSE(CONTROL!$C$25, 0.0238, 0)</f>
        <v>36.034500000000001</v>
      </c>
      <c r="C457" s="4">
        <f>35.6982 * CHOOSE(CONTROL!$C$6, $C$13, 100%, $E$13) + CHOOSE(CONTROL!$C$25, 0.0238, 0)</f>
        <v>35.722000000000001</v>
      </c>
      <c r="D457" s="4">
        <f>41.5516 * CHOOSE(CONTROL!$C$6, $C$13, 100%, $E$13) + CHOOSE(CONTROL!$C$25, 0, 0)</f>
        <v>41.551600000000001</v>
      </c>
      <c r="E457" s="4">
        <f>209.051868636146 * CHOOSE(CONTROL!$C$6, $C$13, 100%, $E$13) + CHOOSE(CONTROL!$C$25, 0, 0)</f>
        <v>209.051868636146</v>
      </c>
    </row>
    <row r="458" spans="1:5" ht="15">
      <c r="A458" s="13">
        <v>55823</v>
      </c>
      <c r="B458" s="4">
        <f>34.8765 * CHOOSE(CONTROL!$C$6, $C$13, 100%, $E$13) + CHOOSE(CONTROL!$C$25, 0.0003, 0)</f>
        <v>34.876800000000003</v>
      </c>
      <c r="C458" s="4">
        <f>34.564 * CHOOSE(CONTROL!$C$6, $C$13, 100%, $E$13) + CHOOSE(CONTROL!$C$25, 0.0003, 0)</f>
        <v>34.564300000000003</v>
      </c>
      <c r="D458" s="4">
        <f>41.0011 * CHOOSE(CONTROL!$C$6, $C$13, 100%, $E$13) + CHOOSE(CONTROL!$C$25, 0, 0)</f>
        <v>41.001100000000001</v>
      </c>
      <c r="E458" s="4">
        <f>202.106024457081 * CHOOSE(CONTROL!$C$6, $C$13, 100%, $E$13) + CHOOSE(CONTROL!$C$25, 0, 0)</f>
        <v>202.10602445708099</v>
      </c>
    </row>
    <row r="459" spans="1:5" ht="15">
      <c r="A459" s="13">
        <v>55853</v>
      </c>
      <c r="B459" s="4">
        <f>34.146 * CHOOSE(CONTROL!$C$6, $C$13, 100%, $E$13) + CHOOSE(CONTROL!$C$25, 0.0003, 0)</f>
        <v>34.146300000000004</v>
      </c>
      <c r="C459" s="4">
        <f>33.8335 * CHOOSE(CONTROL!$C$6, $C$13, 100%, $E$13) + CHOOSE(CONTROL!$C$25, 0.0003, 0)</f>
        <v>33.833800000000004</v>
      </c>
      <c r="D459" s="4">
        <f>40.8119 * CHOOSE(CONTROL!$C$6, $C$13, 100%, $E$13) + CHOOSE(CONTROL!$C$25, 0, 0)</f>
        <v>40.811900000000001</v>
      </c>
      <c r="E459" s="4">
        <f>197.632382122594 * CHOOSE(CONTROL!$C$6, $C$13, 100%, $E$13) + CHOOSE(CONTROL!$C$25, 0, 0)</f>
        <v>197.63238212259401</v>
      </c>
    </row>
    <row r="460" spans="1:5" ht="15">
      <c r="A460" s="13">
        <v>55884</v>
      </c>
      <c r="B460" s="4">
        <f>33.6406 * CHOOSE(CONTROL!$C$6, $C$13, 100%, $E$13) + CHOOSE(CONTROL!$C$25, 0.0003, 0)</f>
        <v>33.640900000000002</v>
      </c>
      <c r="C460" s="4">
        <f>33.3281 * CHOOSE(CONTROL!$C$6, $C$13, 100%, $E$13) + CHOOSE(CONTROL!$C$25, 0.0003, 0)</f>
        <v>33.328400000000002</v>
      </c>
      <c r="D460" s="4">
        <f>39.4187 * CHOOSE(CONTROL!$C$6, $C$13, 100%, $E$13) + CHOOSE(CONTROL!$C$25, 0, 0)</f>
        <v>39.418700000000001</v>
      </c>
      <c r="E460" s="4">
        <f>194.537196688903 * CHOOSE(CONTROL!$C$6, $C$13, 100%, $E$13) + CHOOSE(CONTROL!$C$25, 0, 0)</f>
        <v>194.53719668890301</v>
      </c>
    </row>
    <row r="461" spans="1:5" ht="15">
      <c r="A461" s="13">
        <v>55915</v>
      </c>
      <c r="B461" s="4">
        <f>32.8194 * CHOOSE(CONTROL!$C$6, $C$13, 100%, $E$13) + CHOOSE(CONTROL!$C$25, 0.0003, 0)</f>
        <v>32.819700000000005</v>
      </c>
      <c r="C461" s="4">
        <f>32.5069 * CHOOSE(CONTROL!$C$6, $C$13, 100%, $E$13) + CHOOSE(CONTROL!$C$25, 0.0003, 0)</f>
        <v>32.507200000000005</v>
      </c>
      <c r="D461" s="4">
        <f>38.1382 * CHOOSE(CONTROL!$C$6, $C$13, 100%, $E$13) + CHOOSE(CONTROL!$C$25, 0, 0)</f>
        <v>38.138199999999998</v>
      </c>
      <c r="E461" s="4">
        <f>188.958611210147 * CHOOSE(CONTROL!$C$6, $C$13, 100%, $E$13) + CHOOSE(CONTROL!$C$25, 0, 0)</f>
        <v>188.95861121014701</v>
      </c>
    </row>
    <row r="462" spans="1:5" ht="15">
      <c r="A462" s="13">
        <v>55943</v>
      </c>
      <c r="B462" s="4">
        <f>33.5542 * CHOOSE(CONTROL!$C$6, $C$13, 100%, $E$13) + CHOOSE(CONTROL!$C$25, 0.0003, 0)</f>
        <v>33.554500000000004</v>
      </c>
      <c r="C462" s="4">
        <f>33.2417 * CHOOSE(CONTROL!$C$6, $C$13, 100%, $E$13) + CHOOSE(CONTROL!$C$25, 0.0003, 0)</f>
        <v>33.242000000000004</v>
      </c>
      <c r="D462" s="4">
        <f>39.4277 * CHOOSE(CONTROL!$C$6, $C$13, 100%, $E$13) + CHOOSE(CONTROL!$C$25, 0, 0)</f>
        <v>39.427700000000002</v>
      </c>
      <c r="E462" s="4">
        <f>193.445233309051 * CHOOSE(CONTROL!$C$6, $C$13, 100%, $E$13) + CHOOSE(CONTROL!$C$25, 0, 0)</f>
        <v>193.44523330905099</v>
      </c>
    </row>
    <row r="463" spans="1:5" ht="15">
      <c r="A463" s="13">
        <v>55974</v>
      </c>
      <c r="B463" s="4">
        <f>35.4836 * CHOOSE(CONTROL!$C$6, $C$13, 100%, $E$13) + CHOOSE(CONTROL!$C$25, 0.0003, 0)</f>
        <v>35.483900000000006</v>
      </c>
      <c r="C463" s="4">
        <f>35.1711 * CHOOSE(CONTROL!$C$6, $C$13, 100%, $E$13) + CHOOSE(CONTROL!$C$25, 0.0003, 0)</f>
        <v>35.171400000000006</v>
      </c>
      <c r="D463" s="4">
        <f>41.4462 * CHOOSE(CONTROL!$C$6, $C$13, 100%, $E$13) + CHOOSE(CONTROL!$C$25, 0, 0)</f>
        <v>41.446199999999997</v>
      </c>
      <c r="E463" s="4">
        <f>205.227341374351 * CHOOSE(CONTROL!$C$6, $C$13, 100%, $E$13) + CHOOSE(CONTROL!$C$25, 0, 0)</f>
        <v>205.227341374351</v>
      </c>
    </row>
    <row r="464" spans="1:5" ht="15">
      <c r="A464" s="13">
        <v>56004</v>
      </c>
      <c r="B464" s="4">
        <f>36.8545 * CHOOSE(CONTROL!$C$6, $C$13, 100%, $E$13) + CHOOSE(CONTROL!$C$25, 0.0003, 0)</f>
        <v>36.854800000000004</v>
      </c>
      <c r="C464" s="4">
        <f>36.542 * CHOOSE(CONTROL!$C$6, $C$13, 100%, $E$13) + CHOOSE(CONTROL!$C$25, 0.0003, 0)</f>
        <v>36.542300000000004</v>
      </c>
      <c r="D464" s="4">
        <f>42.609 * CHOOSE(CONTROL!$C$6, $C$13, 100%, $E$13) + CHOOSE(CONTROL!$C$25, 0, 0)</f>
        <v>42.609000000000002</v>
      </c>
      <c r="E464" s="4">
        <f>213.598686171981 * CHOOSE(CONTROL!$C$6, $C$13, 100%, $E$13) + CHOOSE(CONTROL!$C$25, 0, 0)</f>
        <v>213.598686171981</v>
      </c>
    </row>
    <row r="465" spans="1:5" ht="15">
      <c r="A465" s="13">
        <v>56035</v>
      </c>
      <c r="B465" s="4">
        <f>37.6921 * CHOOSE(CONTROL!$C$6, $C$13, 100%, $E$13) + CHOOSE(CONTROL!$C$25, 0.0238, 0)</f>
        <v>37.715900000000005</v>
      </c>
      <c r="C465" s="4">
        <f>37.3796 * CHOOSE(CONTROL!$C$6, $C$13, 100%, $E$13) + CHOOSE(CONTROL!$C$25, 0.0238, 0)</f>
        <v>37.403400000000005</v>
      </c>
      <c r="D465" s="4">
        <f>42.1495 * CHOOSE(CONTROL!$C$6, $C$13, 100%, $E$13) + CHOOSE(CONTROL!$C$25, 0, 0)</f>
        <v>42.149500000000003</v>
      </c>
      <c r="E465" s="4">
        <f>218.7133772102 * CHOOSE(CONTROL!$C$6, $C$13, 100%, $E$13) + CHOOSE(CONTROL!$C$25, 0, 0)</f>
        <v>218.71337721020001</v>
      </c>
    </row>
    <row r="466" spans="1:5" ht="15">
      <c r="A466" s="13">
        <v>56065</v>
      </c>
      <c r="B466" s="4">
        <f>37.8055 * CHOOSE(CONTROL!$C$6, $C$13, 100%, $E$13) + CHOOSE(CONTROL!$C$25, 0.0238, 0)</f>
        <v>37.829300000000003</v>
      </c>
      <c r="C466" s="4">
        <f>37.493 * CHOOSE(CONTROL!$C$6, $C$13, 100%, $E$13) + CHOOSE(CONTROL!$C$25, 0.0238, 0)</f>
        <v>37.516800000000003</v>
      </c>
      <c r="D466" s="4">
        <f>42.5237 * CHOOSE(CONTROL!$C$6, $C$13, 100%, $E$13) + CHOOSE(CONTROL!$C$25, 0, 0)</f>
        <v>42.523699999999998</v>
      </c>
      <c r="E466" s="4">
        <f>219.405416134075 * CHOOSE(CONTROL!$C$6, $C$13, 100%, $E$13) + CHOOSE(CONTROL!$C$25, 0, 0)</f>
        <v>219.40541613407501</v>
      </c>
    </row>
    <row r="467" spans="1:5" ht="15">
      <c r="A467" s="13">
        <v>56096</v>
      </c>
      <c r="B467" s="4">
        <f>37.794 * CHOOSE(CONTROL!$C$6, $C$13, 100%, $E$13) + CHOOSE(CONTROL!$C$25, 0.0238, 0)</f>
        <v>37.817799999999998</v>
      </c>
      <c r="C467" s="4">
        <f>37.4815 * CHOOSE(CONTROL!$C$6, $C$13, 100%, $E$13) + CHOOSE(CONTROL!$C$25, 0.0238, 0)</f>
        <v>37.505299999999998</v>
      </c>
      <c r="D467" s="4">
        <f>43.1989 * CHOOSE(CONTROL!$C$6, $C$13, 100%, $E$13) + CHOOSE(CONTROL!$C$25, 0, 0)</f>
        <v>43.198900000000002</v>
      </c>
      <c r="E467" s="4">
        <f>219.335630696373 * CHOOSE(CONTROL!$C$6, $C$13, 100%, $E$13) + CHOOSE(CONTROL!$C$25, 0, 0)</f>
        <v>219.33563069637299</v>
      </c>
    </row>
    <row r="468" spans="1:5" ht="15">
      <c r="A468" s="13">
        <v>56127</v>
      </c>
      <c r="B468" s="4">
        <f>38.654 * CHOOSE(CONTROL!$C$6, $C$13, 100%, $E$13) + CHOOSE(CONTROL!$C$25, 0.0238, 0)</f>
        <v>38.677800000000005</v>
      </c>
      <c r="C468" s="4">
        <f>38.3415 * CHOOSE(CONTROL!$C$6, $C$13, 100%, $E$13) + CHOOSE(CONTROL!$C$25, 0.0238, 0)</f>
        <v>38.365300000000005</v>
      </c>
      <c r="D468" s="4">
        <f>42.753 * CHOOSE(CONTROL!$C$6, $C$13, 100%, $E$13) + CHOOSE(CONTROL!$C$25, 0, 0)</f>
        <v>42.753</v>
      </c>
      <c r="E468" s="4">
        <f>224.586984883425 * CHOOSE(CONTROL!$C$6, $C$13, 100%, $E$13) + CHOOSE(CONTROL!$C$25, 0, 0)</f>
        <v>224.586984883425</v>
      </c>
    </row>
    <row r="469" spans="1:5" ht="15">
      <c r="A469" s="13">
        <v>56157</v>
      </c>
      <c r="B469" s="4">
        <f>37.1883 * CHOOSE(CONTROL!$C$6, $C$13, 100%, $E$13) + CHOOSE(CONTROL!$C$25, 0.0238, 0)</f>
        <v>37.2121</v>
      </c>
      <c r="C469" s="4">
        <f>36.8758 * CHOOSE(CONTROL!$C$6, $C$13, 100%, $E$13) + CHOOSE(CONTROL!$C$25, 0.0238, 0)</f>
        <v>36.8996</v>
      </c>
      <c r="D469" s="4">
        <f>42.5423 * CHOOSE(CONTROL!$C$6, $C$13, 100%, $E$13) + CHOOSE(CONTROL!$C$25, 0, 0)</f>
        <v>42.542299999999997</v>
      </c>
      <c r="E469" s="4">
        <f>215.637002498185 * CHOOSE(CONTROL!$C$6, $C$13, 100%, $E$13) + CHOOSE(CONTROL!$C$25, 0, 0)</f>
        <v>215.63700249818501</v>
      </c>
    </row>
    <row r="470" spans="1:5" ht="15">
      <c r="A470" s="13">
        <v>56188</v>
      </c>
      <c r="B470" s="4">
        <f>36.015 * CHOOSE(CONTROL!$C$6, $C$13, 100%, $E$13) + CHOOSE(CONTROL!$C$25, 0.0003, 0)</f>
        <v>36.015300000000003</v>
      </c>
      <c r="C470" s="4">
        <f>35.7025 * CHOOSE(CONTROL!$C$6, $C$13, 100%, $E$13) + CHOOSE(CONTROL!$C$25, 0.0003, 0)</f>
        <v>35.702800000000003</v>
      </c>
      <c r="D470" s="4">
        <f>41.9782 * CHOOSE(CONTROL!$C$6, $C$13, 100%, $E$13) + CHOOSE(CONTROL!$C$25, 0, 0)</f>
        <v>41.978200000000001</v>
      </c>
      <c r="E470" s="4">
        <f>208.472364227479 * CHOOSE(CONTROL!$C$6, $C$13, 100%, $E$13) + CHOOSE(CONTROL!$C$25, 0, 0)</f>
        <v>208.47236422747901</v>
      </c>
    </row>
    <row r="471" spans="1:5" ht="15">
      <c r="A471" s="13">
        <v>56218</v>
      </c>
      <c r="B471" s="4">
        <f>35.2593 * CHOOSE(CONTROL!$C$6, $C$13, 100%, $E$13) + CHOOSE(CONTROL!$C$25, 0.0003, 0)</f>
        <v>35.259600000000006</v>
      </c>
      <c r="C471" s="4">
        <f>34.9468 * CHOOSE(CONTROL!$C$6, $C$13, 100%, $E$13) + CHOOSE(CONTROL!$C$25, 0.0003, 0)</f>
        <v>34.947100000000006</v>
      </c>
      <c r="D471" s="4">
        <f>41.7843 * CHOOSE(CONTROL!$C$6, $C$13, 100%, $E$13) + CHOOSE(CONTROL!$C$25, 0, 0)</f>
        <v>41.784300000000002</v>
      </c>
      <c r="E471" s="4">
        <f>203.857802159455 * CHOOSE(CONTROL!$C$6, $C$13, 100%, $E$13) + CHOOSE(CONTROL!$C$25, 0, 0)</f>
        <v>203.85780215945499</v>
      </c>
    </row>
    <row r="472" spans="1:5" ht="15">
      <c r="A472" s="13">
        <v>56249</v>
      </c>
      <c r="B472" s="4">
        <f>34.7365 * CHOOSE(CONTROL!$C$6, $C$13, 100%, $E$13) + CHOOSE(CONTROL!$C$25, 0.0003, 0)</f>
        <v>34.736800000000002</v>
      </c>
      <c r="C472" s="4">
        <f>34.424 * CHOOSE(CONTROL!$C$6, $C$13, 100%, $E$13) + CHOOSE(CONTROL!$C$25, 0.0003, 0)</f>
        <v>34.424300000000002</v>
      </c>
      <c r="D472" s="4">
        <f>40.3565 * CHOOSE(CONTROL!$C$6, $C$13, 100%, $E$13) + CHOOSE(CONTROL!$C$25, 0, 0)</f>
        <v>40.356499999999997</v>
      </c>
      <c r="E472" s="4">
        <f>200.665118384604 * CHOOSE(CONTROL!$C$6, $C$13, 100%, $E$13) + CHOOSE(CONTROL!$C$25, 0, 0)</f>
        <v>200.665118384604</v>
      </c>
    </row>
    <row r="473" spans="1:5" ht="15">
      <c r="A473" s="13">
        <v>56280</v>
      </c>
      <c r="B473" s="4">
        <f>33.887 * CHOOSE(CONTROL!$C$6, $C$13, 100%, $E$13) + CHOOSE(CONTROL!$C$25, 0.0003, 0)</f>
        <v>33.887300000000003</v>
      </c>
      <c r="C473" s="4">
        <f>33.5745 * CHOOSE(CONTROL!$C$6, $C$13, 100%, $E$13) + CHOOSE(CONTROL!$C$25, 0.0003, 0)</f>
        <v>33.574800000000003</v>
      </c>
      <c r="D473" s="4">
        <f>39.0443 * CHOOSE(CONTROL!$C$6, $C$13, 100%, $E$13) + CHOOSE(CONTROL!$C$25, 0, 0)</f>
        <v>39.0443</v>
      </c>
      <c r="E473" s="4">
        <f>194.910807463267 * CHOOSE(CONTROL!$C$6, $C$13, 100%, $E$13) + CHOOSE(CONTROL!$C$25, 0, 0)</f>
        <v>194.91080746326699</v>
      </c>
    </row>
    <row r="474" spans="1:5" ht="15">
      <c r="A474" s="13">
        <v>56308</v>
      </c>
      <c r="B474" s="4">
        <f>34.6471 * CHOOSE(CONTROL!$C$6, $C$13, 100%, $E$13) + CHOOSE(CONTROL!$C$25, 0.0003, 0)</f>
        <v>34.647400000000005</v>
      </c>
      <c r="C474" s="4">
        <f>34.3346 * CHOOSE(CONTROL!$C$6, $C$13, 100%, $E$13) + CHOOSE(CONTROL!$C$25, 0.0003, 0)</f>
        <v>34.334900000000005</v>
      </c>
      <c r="D474" s="4">
        <f>40.3657 * CHOOSE(CONTROL!$C$6, $C$13, 100%, $E$13) + CHOOSE(CONTROL!$C$25, 0, 0)</f>
        <v>40.365699999999997</v>
      </c>
      <c r="E474" s="4">
        <f>199.538758158286 * CHOOSE(CONTROL!$C$6, $C$13, 100%, $E$13) + CHOOSE(CONTROL!$C$25, 0, 0)</f>
        <v>199.53875815828599</v>
      </c>
    </row>
    <row r="475" spans="1:5" ht="15">
      <c r="A475" s="13">
        <v>56339</v>
      </c>
      <c r="B475" s="4">
        <f>36.6431 * CHOOSE(CONTROL!$C$6, $C$13, 100%, $E$13) + CHOOSE(CONTROL!$C$25, 0.0003, 0)</f>
        <v>36.6434</v>
      </c>
      <c r="C475" s="4">
        <f>36.3306 * CHOOSE(CONTROL!$C$6, $C$13, 100%, $E$13) + CHOOSE(CONTROL!$C$25, 0.0003, 0)</f>
        <v>36.3309</v>
      </c>
      <c r="D475" s="4">
        <f>42.4343 * CHOOSE(CONTROL!$C$6, $C$13, 100%, $E$13) + CHOOSE(CONTROL!$C$25, 0, 0)</f>
        <v>42.4343</v>
      </c>
      <c r="E475" s="4">
        <f>211.692002627643 * CHOOSE(CONTROL!$C$6, $C$13, 100%, $E$13) + CHOOSE(CONTROL!$C$25, 0, 0)</f>
        <v>211.69200262764301</v>
      </c>
    </row>
    <row r="476" spans="1:5" ht="15">
      <c r="A476" s="13">
        <v>56369</v>
      </c>
      <c r="B476" s="4">
        <f>38.0613 * CHOOSE(CONTROL!$C$6, $C$13, 100%, $E$13) + CHOOSE(CONTROL!$C$25, 0.0003, 0)</f>
        <v>38.061600000000006</v>
      </c>
      <c r="C476" s="4">
        <f>37.7488 * CHOOSE(CONTROL!$C$6, $C$13, 100%, $E$13) + CHOOSE(CONTROL!$C$25, 0.0003, 0)</f>
        <v>37.749100000000006</v>
      </c>
      <c r="D476" s="4">
        <f>43.6259 * CHOOSE(CONTROL!$C$6, $C$13, 100%, $E$13) + CHOOSE(CONTROL!$C$25, 0, 0)</f>
        <v>43.625900000000001</v>
      </c>
      <c r="E476" s="4">
        <f>220.327044786399 * CHOOSE(CONTROL!$C$6, $C$13, 100%, $E$13) + CHOOSE(CONTROL!$C$25, 0, 0)</f>
        <v>220.327044786399</v>
      </c>
    </row>
    <row r="477" spans="1:5" ht="15">
      <c r="A477" s="13">
        <v>56400</v>
      </c>
      <c r="B477" s="4">
        <f>38.9278 * CHOOSE(CONTROL!$C$6, $C$13, 100%, $E$13) + CHOOSE(CONTROL!$C$25, 0.0238, 0)</f>
        <v>38.951599999999999</v>
      </c>
      <c r="C477" s="4">
        <f>38.6153 * CHOOSE(CONTROL!$C$6, $C$13, 100%, $E$13) + CHOOSE(CONTROL!$C$25, 0.0238, 0)</f>
        <v>38.639099999999999</v>
      </c>
      <c r="D477" s="4">
        <f>43.155 * CHOOSE(CONTROL!$C$6, $C$13, 100%, $E$13) + CHOOSE(CONTROL!$C$25, 0, 0)</f>
        <v>43.155000000000001</v>
      </c>
      <c r="E477" s="4">
        <f>225.602848592321 * CHOOSE(CONTROL!$C$6, $C$13, 100%, $E$13) + CHOOSE(CONTROL!$C$25, 0, 0)</f>
        <v>225.60284859232101</v>
      </c>
    </row>
    <row r="478" spans="1:5" ht="15">
      <c r="A478" s="13">
        <v>56430</v>
      </c>
      <c r="B478" s="4">
        <f>39.0451 * CHOOSE(CONTROL!$C$6, $C$13, 100%, $E$13) + CHOOSE(CONTROL!$C$25, 0.0238, 0)</f>
        <v>39.068899999999999</v>
      </c>
      <c r="C478" s="4">
        <f>38.7326 * CHOOSE(CONTROL!$C$6, $C$13, 100%, $E$13) + CHOOSE(CONTROL!$C$25, 0.0238, 0)</f>
        <v>38.756399999999999</v>
      </c>
      <c r="D478" s="4">
        <f>43.5385 * CHOOSE(CONTROL!$C$6, $C$13, 100%, $E$13) + CHOOSE(CONTROL!$C$25, 0, 0)</f>
        <v>43.538499999999999</v>
      </c>
      <c r="E478" s="4">
        <f>226.316686742298 * CHOOSE(CONTROL!$C$6, $C$13, 100%, $E$13) + CHOOSE(CONTROL!$C$25, 0, 0)</f>
        <v>226.316686742298</v>
      </c>
    </row>
    <row r="479" spans="1:5" ht="15">
      <c r="A479" s="13">
        <v>56461</v>
      </c>
      <c r="B479" s="4">
        <f>39.0332 * CHOOSE(CONTROL!$C$6, $C$13, 100%, $E$13) + CHOOSE(CONTROL!$C$25, 0.0238, 0)</f>
        <v>39.057000000000002</v>
      </c>
      <c r="C479" s="4">
        <f>38.7207 * CHOOSE(CONTROL!$C$6, $C$13, 100%, $E$13) + CHOOSE(CONTROL!$C$25, 0.0238, 0)</f>
        <v>38.744500000000002</v>
      </c>
      <c r="D479" s="4">
        <f>44.2305 * CHOOSE(CONTROL!$C$6, $C$13, 100%, $E$13) + CHOOSE(CONTROL!$C$25, 0, 0)</f>
        <v>44.230499999999999</v>
      </c>
      <c r="E479" s="4">
        <f>226.244703063309 * CHOOSE(CONTROL!$C$6, $C$13, 100%, $E$13) + CHOOSE(CONTROL!$C$25, 0, 0)</f>
        <v>226.244703063309</v>
      </c>
    </row>
    <row r="480" spans="1:5" ht="15">
      <c r="A480" s="13">
        <v>56492</v>
      </c>
      <c r="B480" s="4">
        <f>39.9229 * CHOOSE(CONTROL!$C$6, $C$13, 100%, $E$13) + CHOOSE(CONTROL!$C$25, 0.0238, 0)</f>
        <v>39.9467</v>
      </c>
      <c r="C480" s="4">
        <f>39.6104 * CHOOSE(CONTROL!$C$6, $C$13, 100%, $E$13) + CHOOSE(CONTROL!$C$25, 0.0238, 0)</f>
        <v>39.6342</v>
      </c>
      <c r="D480" s="4">
        <f>43.7735 * CHOOSE(CONTROL!$C$6, $C$13, 100%, $E$13) + CHOOSE(CONTROL!$C$25, 0, 0)</f>
        <v>43.773499999999999</v>
      </c>
      <c r="E480" s="4">
        <f>231.661474907253 * CHOOSE(CONTROL!$C$6, $C$13, 100%, $E$13) + CHOOSE(CONTROL!$C$25, 0, 0)</f>
        <v>231.66147490725299</v>
      </c>
    </row>
    <row r="481" spans="1:5" ht="15">
      <c r="A481" s="13">
        <v>56522</v>
      </c>
      <c r="B481" s="4">
        <f>38.4067 * CHOOSE(CONTROL!$C$6, $C$13, 100%, $E$13) + CHOOSE(CONTROL!$C$25, 0.0238, 0)</f>
        <v>38.430500000000002</v>
      </c>
      <c r="C481" s="4">
        <f>38.0942 * CHOOSE(CONTROL!$C$6, $C$13, 100%, $E$13) + CHOOSE(CONTROL!$C$25, 0.0238, 0)</f>
        <v>38.118000000000002</v>
      </c>
      <c r="D481" s="4">
        <f>43.5576 * CHOOSE(CONTROL!$C$6, $C$13, 100%, $E$13) + CHOOSE(CONTROL!$C$25, 0, 0)</f>
        <v>43.557600000000001</v>
      </c>
      <c r="E481" s="4">
        <f>222.429568076877 * CHOOSE(CONTROL!$C$6, $C$13, 100%, $E$13) + CHOOSE(CONTROL!$C$25, 0, 0)</f>
        <v>222.42956807687699</v>
      </c>
    </row>
    <row r="482" spans="1:5" ht="15">
      <c r="A482" s="13">
        <v>56553</v>
      </c>
      <c r="B482" s="4">
        <f>37.1929 * CHOOSE(CONTROL!$C$6, $C$13, 100%, $E$13) + CHOOSE(CONTROL!$C$25, 0.0003, 0)</f>
        <v>37.193200000000004</v>
      </c>
      <c r="C482" s="4">
        <f>36.8804 * CHOOSE(CONTROL!$C$6, $C$13, 100%, $E$13) + CHOOSE(CONTROL!$C$25, 0.0003, 0)</f>
        <v>36.880700000000004</v>
      </c>
      <c r="D482" s="4">
        <f>42.9795 * CHOOSE(CONTROL!$C$6, $C$13, 100%, $E$13) + CHOOSE(CONTROL!$C$25, 0, 0)</f>
        <v>42.979500000000002</v>
      </c>
      <c r="E482" s="4">
        <f>215.039243700644 * CHOOSE(CONTROL!$C$6, $C$13, 100%, $E$13) + CHOOSE(CONTROL!$C$25, 0, 0)</f>
        <v>215.03924370064399</v>
      </c>
    </row>
    <row r="483" spans="1:5" ht="15">
      <c r="A483" s="13">
        <v>56583</v>
      </c>
      <c r="B483" s="4">
        <f>36.4111 * CHOOSE(CONTROL!$C$6, $C$13, 100%, $E$13) + CHOOSE(CONTROL!$C$25, 0.0003, 0)</f>
        <v>36.4114</v>
      </c>
      <c r="C483" s="4">
        <f>36.0986 * CHOOSE(CONTROL!$C$6, $C$13, 100%, $E$13) + CHOOSE(CONTROL!$C$25, 0.0003, 0)</f>
        <v>36.0989</v>
      </c>
      <c r="D483" s="4">
        <f>42.7808 * CHOOSE(CONTROL!$C$6, $C$13, 100%, $E$13) + CHOOSE(CONTROL!$C$25, 0, 0)</f>
        <v>42.780799999999999</v>
      </c>
      <c r="E483" s="4">
        <f>210.279322927478 * CHOOSE(CONTROL!$C$6, $C$13, 100%, $E$13) + CHOOSE(CONTROL!$C$25, 0, 0)</f>
        <v>210.27932292747801</v>
      </c>
    </row>
    <row r="484" spans="1:5" ht="15">
      <c r="A484" s="13">
        <v>56614</v>
      </c>
      <c r="B484" s="4">
        <f>35.8702 * CHOOSE(CONTROL!$C$6, $C$13, 100%, $E$13) + CHOOSE(CONTROL!$C$25, 0.0003, 0)</f>
        <v>35.8705</v>
      </c>
      <c r="C484" s="4">
        <f>35.5577 * CHOOSE(CONTROL!$C$6, $C$13, 100%, $E$13) + CHOOSE(CONTROL!$C$25, 0.0003, 0)</f>
        <v>35.558</v>
      </c>
      <c r="D484" s="4">
        <f>41.3176 * CHOOSE(CONTROL!$C$6, $C$13, 100%, $E$13) + CHOOSE(CONTROL!$C$25, 0, 0)</f>
        <v>41.317599999999999</v>
      </c>
      <c r="E484" s="4">
        <f>206.986069613719 * CHOOSE(CONTROL!$C$6, $C$13, 100%, $E$13) + CHOOSE(CONTROL!$C$25, 0, 0)</f>
        <v>206.986069613719</v>
      </c>
    </row>
    <row r="485" spans="1:5" ht="15">
      <c r="A485" s="13">
        <v>56645</v>
      </c>
      <c r="B485" s="4">
        <f>34.9914 * CHOOSE(CONTROL!$C$6, $C$13, 100%, $E$13) + CHOOSE(CONTROL!$C$25, 0.0003, 0)</f>
        <v>34.991700000000002</v>
      </c>
      <c r="C485" s="4">
        <f>34.6789 * CHOOSE(CONTROL!$C$6, $C$13, 100%, $E$13) + CHOOSE(CONTROL!$C$25, 0.0003, 0)</f>
        <v>34.679200000000002</v>
      </c>
      <c r="D485" s="4">
        <f>39.9728 * CHOOSE(CONTROL!$C$6, $C$13, 100%, $E$13) + CHOOSE(CONTROL!$C$25, 0, 0)</f>
        <v>39.972799999999999</v>
      </c>
      <c r="E485" s="4">
        <f>201.05049789836 * CHOOSE(CONTROL!$C$6, $C$13, 100%, $E$13) + CHOOSE(CONTROL!$C$25, 0, 0)</f>
        <v>201.05049789835999</v>
      </c>
    </row>
    <row r="486" spans="1:5" ht="15">
      <c r="A486" s="13">
        <v>56673</v>
      </c>
      <c r="B486" s="4">
        <f>35.7777 * CHOOSE(CONTROL!$C$6, $C$13, 100%, $E$13) + CHOOSE(CONTROL!$C$25, 0.0003, 0)</f>
        <v>35.778000000000006</v>
      </c>
      <c r="C486" s="4">
        <f>35.4652 * CHOOSE(CONTROL!$C$6, $C$13, 100%, $E$13) + CHOOSE(CONTROL!$C$25, 0.0003, 0)</f>
        <v>35.465500000000006</v>
      </c>
      <c r="D486" s="4">
        <f>41.327 * CHOOSE(CONTROL!$C$6, $C$13, 100%, $E$13) + CHOOSE(CONTROL!$C$25, 0, 0)</f>
        <v>41.326999999999998</v>
      </c>
      <c r="E486" s="4">
        <f>205.824229040272 * CHOOSE(CONTROL!$C$6, $C$13, 100%, $E$13) + CHOOSE(CONTROL!$C$25, 0, 0)</f>
        <v>205.824229040272</v>
      </c>
    </row>
    <row r="487" spans="1:5" ht="15">
      <c r="A487" s="13">
        <v>56704</v>
      </c>
      <c r="B487" s="4">
        <f>37.8426 * CHOOSE(CONTROL!$C$6, $C$13, 100%, $E$13) + CHOOSE(CONTROL!$C$25, 0.0003, 0)</f>
        <v>37.8429</v>
      </c>
      <c r="C487" s="4">
        <f>37.5301 * CHOOSE(CONTROL!$C$6, $C$13, 100%, $E$13) + CHOOSE(CONTROL!$C$25, 0.0003, 0)</f>
        <v>37.5304</v>
      </c>
      <c r="D487" s="4">
        <f>43.4469 * CHOOSE(CONTROL!$C$6, $C$13, 100%, $E$13) + CHOOSE(CONTROL!$C$25, 0, 0)</f>
        <v>43.446899999999999</v>
      </c>
      <c r="E487" s="4">
        <f>218.360300710414 * CHOOSE(CONTROL!$C$6, $C$13, 100%, $E$13) + CHOOSE(CONTROL!$C$25, 0, 0)</f>
        <v>218.36030071041401</v>
      </c>
    </row>
    <row r="488" spans="1:5" ht="15">
      <c r="A488" s="13">
        <v>56734</v>
      </c>
      <c r="B488" s="4">
        <f>39.3098 * CHOOSE(CONTROL!$C$6, $C$13, 100%, $E$13) + CHOOSE(CONTROL!$C$25, 0.0003, 0)</f>
        <v>39.310100000000006</v>
      </c>
      <c r="C488" s="4">
        <f>38.9973 * CHOOSE(CONTROL!$C$6, $C$13, 100%, $E$13) + CHOOSE(CONTROL!$C$25, 0.0003, 0)</f>
        <v>38.997600000000006</v>
      </c>
      <c r="D488" s="4">
        <f>44.6681 * CHOOSE(CONTROL!$C$6, $C$13, 100%, $E$13) + CHOOSE(CONTROL!$C$25, 0, 0)</f>
        <v>44.668100000000003</v>
      </c>
      <c r="E488" s="4">
        <f>227.26734669717 * CHOOSE(CONTROL!$C$6, $C$13, 100%, $E$13) + CHOOSE(CONTROL!$C$25, 0, 0)</f>
        <v>227.26734669717001</v>
      </c>
    </row>
    <row r="489" spans="1:5" ht="15">
      <c r="A489" s="13">
        <v>56765</v>
      </c>
      <c r="B489" s="4">
        <f>40.2062 * CHOOSE(CONTROL!$C$6, $C$13, 100%, $E$13) + CHOOSE(CONTROL!$C$25, 0.0238, 0)</f>
        <v>40.230000000000004</v>
      </c>
      <c r="C489" s="4">
        <f>39.8937 * CHOOSE(CONTROL!$C$6, $C$13, 100%, $E$13) + CHOOSE(CONTROL!$C$25, 0.0238, 0)</f>
        <v>39.917500000000004</v>
      </c>
      <c r="D489" s="4">
        <f>44.1855 * CHOOSE(CONTROL!$C$6, $C$13, 100%, $E$13) + CHOOSE(CONTROL!$C$25, 0, 0)</f>
        <v>44.185499999999998</v>
      </c>
      <c r="E489" s="4">
        <f>232.70933832298 * CHOOSE(CONTROL!$C$6, $C$13, 100%, $E$13) + CHOOSE(CONTROL!$C$25, 0, 0)</f>
        <v>232.70933832297999</v>
      </c>
    </row>
    <row r="490" spans="1:5" ht="15">
      <c r="A490" s="13">
        <v>56795</v>
      </c>
      <c r="B490" s="4">
        <f>40.3274 * CHOOSE(CONTROL!$C$6, $C$13, 100%, $E$13) + CHOOSE(CONTROL!$C$25, 0.0238, 0)</f>
        <v>40.351199999999999</v>
      </c>
      <c r="C490" s="4">
        <f>40.0149 * CHOOSE(CONTROL!$C$6, $C$13, 100%, $E$13) + CHOOSE(CONTROL!$C$25, 0.0238, 0)</f>
        <v>40.038699999999999</v>
      </c>
      <c r="D490" s="4">
        <f>44.5785 * CHOOSE(CONTROL!$C$6, $C$13, 100%, $E$13) + CHOOSE(CONTROL!$C$25, 0, 0)</f>
        <v>44.578499999999998</v>
      </c>
      <c r="E490" s="4">
        <f>233.445662374681 * CHOOSE(CONTROL!$C$6, $C$13, 100%, $E$13) + CHOOSE(CONTROL!$C$25, 0, 0)</f>
        <v>233.44566237468101</v>
      </c>
    </row>
    <row r="491" spans="1:5" ht="15">
      <c r="A491" s="13">
        <v>56826</v>
      </c>
      <c r="B491" s="4">
        <f>40.3152 * CHOOSE(CONTROL!$C$6, $C$13, 100%, $E$13) + CHOOSE(CONTROL!$C$25, 0.0238, 0)</f>
        <v>40.338999999999999</v>
      </c>
      <c r="C491" s="4">
        <f>40.0027 * CHOOSE(CONTROL!$C$6, $C$13, 100%, $E$13) + CHOOSE(CONTROL!$C$25, 0.0238, 0)</f>
        <v>40.026499999999999</v>
      </c>
      <c r="D491" s="4">
        <f>45.2876 * CHOOSE(CONTROL!$C$6, $C$13, 100%, $E$13) + CHOOSE(CONTROL!$C$25, 0, 0)</f>
        <v>45.287599999999998</v>
      </c>
      <c r="E491" s="4">
        <f>233.371411209803 * CHOOSE(CONTROL!$C$6, $C$13, 100%, $E$13) + CHOOSE(CONTROL!$C$25, 0, 0)</f>
        <v>233.371411209803</v>
      </c>
    </row>
    <row r="492" spans="1:5" ht="15">
      <c r="A492" s="13">
        <v>56857</v>
      </c>
      <c r="B492" s="4">
        <f>41.2355 * CHOOSE(CONTROL!$C$6, $C$13, 100%, $E$13) + CHOOSE(CONTROL!$C$25, 0.0238, 0)</f>
        <v>41.259300000000003</v>
      </c>
      <c r="C492" s="4">
        <f>40.923 * CHOOSE(CONTROL!$C$6, $C$13, 100%, $E$13) + CHOOSE(CONTROL!$C$25, 0.0238, 0)</f>
        <v>40.946800000000003</v>
      </c>
      <c r="D492" s="4">
        <f>44.8193 * CHOOSE(CONTROL!$C$6, $C$13, 100%, $E$13) + CHOOSE(CONTROL!$C$25, 0, 0)</f>
        <v>44.819299999999998</v>
      </c>
      <c r="E492" s="4">
        <f>238.958811366831 * CHOOSE(CONTROL!$C$6, $C$13, 100%, $E$13) + CHOOSE(CONTROL!$C$25, 0, 0)</f>
        <v>238.95881136683099</v>
      </c>
    </row>
    <row r="493" spans="1:5" ht="15">
      <c r="A493" s="13">
        <v>56887</v>
      </c>
      <c r="B493" s="4">
        <f>39.667 * CHOOSE(CONTROL!$C$6, $C$13, 100%, $E$13) + CHOOSE(CONTROL!$C$25, 0.0238, 0)</f>
        <v>39.690800000000003</v>
      </c>
      <c r="C493" s="4">
        <f>39.3545 * CHOOSE(CONTROL!$C$6, $C$13, 100%, $E$13) + CHOOSE(CONTROL!$C$25, 0.0238, 0)</f>
        <v>39.378300000000003</v>
      </c>
      <c r="D493" s="4">
        <f>44.5981 * CHOOSE(CONTROL!$C$6, $C$13, 100%, $E$13) + CHOOSE(CONTROL!$C$25, 0, 0)</f>
        <v>44.598100000000002</v>
      </c>
      <c r="E493" s="4">
        <f>229.436099471299 * CHOOSE(CONTROL!$C$6, $C$13, 100%, $E$13) + CHOOSE(CONTROL!$C$25, 0, 0)</f>
        <v>229.436099471299</v>
      </c>
    </row>
    <row r="494" spans="1:5" ht="15">
      <c r="A494" s="13">
        <v>56918</v>
      </c>
      <c r="B494" s="4">
        <f>38.4113 * CHOOSE(CONTROL!$C$6, $C$13, 100%, $E$13) + CHOOSE(CONTROL!$C$25, 0.0003, 0)</f>
        <v>38.4116</v>
      </c>
      <c r="C494" s="4">
        <f>38.0988 * CHOOSE(CONTROL!$C$6, $C$13, 100%, $E$13) + CHOOSE(CONTROL!$C$25, 0.0003, 0)</f>
        <v>38.0991</v>
      </c>
      <c r="D494" s="4">
        <f>44.0056 * CHOOSE(CONTROL!$C$6, $C$13, 100%, $E$13) + CHOOSE(CONTROL!$C$25, 0, 0)</f>
        <v>44.005600000000001</v>
      </c>
      <c r="E494" s="4">
        <f>221.812979877215 * CHOOSE(CONTROL!$C$6, $C$13, 100%, $E$13) + CHOOSE(CONTROL!$C$25, 0, 0)</f>
        <v>221.81297987721501</v>
      </c>
    </row>
    <row r="495" spans="1:5" ht="15">
      <c r="A495" s="13">
        <v>56948</v>
      </c>
      <c r="B495" s="4">
        <f>37.6026 * CHOOSE(CONTROL!$C$6, $C$13, 100%, $E$13) + CHOOSE(CONTROL!$C$25, 0.0003, 0)</f>
        <v>37.602900000000005</v>
      </c>
      <c r="C495" s="4">
        <f>37.2901 * CHOOSE(CONTROL!$C$6, $C$13, 100%, $E$13) + CHOOSE(CONTROL!$C$25, 0.0003, 0)</f>
        <v>37.290400000000005</v>
      </c>
      <c r="D495" s="4">
        <f>43.802 * CHOOSE(CONTROL!$C$6, $C$13, 100%, $E$13) + CHOOSE(CONTROL!$C$25, 0, 0)</f>
        <v>43.802</v>
      </c>
      <c r="E495" s="4">
        <f>216.903121599694 * CHOOSE(CONTROL!$C$6, $C$13, 100%, $E$13) + CHOOSE(CONTROL!$C$25, 0, 0)</f>
        <v>216.903121599694</v>
      </c>
    </row>
    <row r="496" spans="1:5" ht="15">
      <c r="A496" s="13">
        <v>56979</v>
      </c>
      <c r="B496" s="4">
        <f>37.0431 * CHOOSE(CONTROL!$C$6, $C$13, 100%, $E$13) + CHOOSE(CONTROL!$C$25, 0.0003, 0)</f>
        <v>37.043400000000005</v>
      </c>
      <c r="C496" s="4">
        <f>36.7306 * CHOOSE(CONTROL!$C$6, $C$13, 100%, $E$13) + CHOOSE(CONTROL!$C$25, 0.0003, 0)</f>
        <v>36.730900000000005</v>
      </c>
      <c r="D496" s="4">
        <f>42.3025 * CHOOSE(CONTROL!$C$6, $C$13, 100%, $E$13) + CHOOSE(CONTROL!$C$25, 0, 0)</f>
        <v>42.302500000000002</v>
      </c>
      <c r="E496" s="4">
        <f>213.506130806551 * CHOOSE(CONTROL!$C$6, $C$13, 100%, $E$13) + CHOOSE(CONTROL!$C$25, 0, 0)</f>
        <v>213.506130806551</v>
      </c>
    </row>
    <row r="497" spans="1:5" ht="15">
      <c r="A497" s="13">
        <v>57010</v>
      </c>
      <c r="B497" s="4">
        <f>36.1339 * CHOOSE(CONTROL!$C$6, $C$13, 100%, $E$13) + CHOOSE(CONTROL!$C$25, 0.0003, 0)</f>
        <v>36.1342</v>
      </c>
      <c r="C497" s="4">
        <f>35.8214 * CHOOSE(CONTROL!$C$6, $C$13, 100%, $E$13) + CHOOSE(CONTROL!$C$25, 0.0003, 0)</f>
        <v>35.8217</v>
      </c>
      <c r="D497" s="4">
        <f>40.9244 * CHOOSE(CONTROL!$C$6, $C$13, 100%, $E$13) + CHOOSE(CONTROL!$C$25, 0, 0)</f>
        <v>40.924399999999999</v>
      </c>
      <c r="E497" s="4">
        <f>207.383588582158 * CHOOSE(CONTROL!$C$6, $C$13, 100%, $E$13) + CHOOSE(CONTROL!$C$25, 0, 0)</f>
        <v>207.38358858215801</v>
      </c>
    </row>
    <row r="498" spans="1:5" ht="15">
      <c r="A498" s="13">
        <v>57038</v>
      </c>
      <c r="B498" s="4">
        <f>36.9474 * CHOOSE(CONTROL!$C$6, $C$13, 100%, $E$13) + CHOOSE(CONTROL!$C$25, 0.0003, 0)</f>
        <v>36.947700000000005</v>
      </c>
      <c r="C498" s="4">
        <f>36.6349 * CHOOSE(CONTROL!$C$6, $C$13, 100%, $E$13) + CHOOSE(CONTROL!$C$25, 0.0003, 0)</f>
        <v>36.635200000000005</v>
      </c>
      <c r="D498" s="4">
        <f>42.3122 * CHOOSE(CONTROL!$C$6, $C$13, 100%, $E$13) + CHOOSE(CONTROL!$C$25, 0, 0)</f>
        <v>42.312199999999997</v>
      </c>
      <c r="E498" s="4">
        <f>212.307692255041 * CHOOSE(CONTROL!$C$6, $C$13, 100%, $E$13) + CHOOSE(CONTROL!$C$25, 0, 0)</f>
        <v>212.30769225504099</v>
      </c>
    </row>
    <row r="499" spans="1:5" ht="15">
      <c r="A499" s="13">
        <v>57070</v>
      </c>
      <c r="B499" s="4">
        <f>39.0835 * CHOOSE(CONTROL!$C$6, $C$13, 100%, $E$13) + CHOOSE(CONTROL!$C$25, 0.0003, 0)</f>
        <v>39.083800000000004</v>
      </c>
      <c r="C499" s="4">
        <f>38.771 * CHOOSE(CONTROL!$C$6, $C$13, 100%, $E$13) + CHOOSE(CONTROL!$C$25, 0.0003, 0)</f>
        <v>38.771300000000004</v>
      </c>
      <c r="D499" s="4">
        <f>44.4846 * CHOOSE(CONTROL!$C$6, $C$13, 100%, $E$13) + CHOOSE(CONTROL!$C$25, 0, 0)</f>
        <v>44.4846</v>
      </c>
      <c r="E499" s="4">
        <f>225.238650182792 * CHOOSE(CONTROL!$C$6, $C$13, 100%, $E$13) + CHOOSE(CONTROL!$C$25, 0, 0)</f>
        <v>225.23865018279199</v>
      </c>
    </row>
    <row r="500" spans="1:5" ht="15">
      <c r="A500" s="13">
        <v>57100</v>
      </c>
      <c r="B500" s="4">
        <f>40.6013 * CHOOSE(CONTROL!$C$6, $C$13, 100%, $E$13) + CHOOSE(CONTROL!$C$25, 0.0003, 0)</f>
        <v>40.601600000000005</v>
      </c>
      <c r="C500" s="4">
        <f>40.2888 * CHOOSE(CONTROL!$C$6, $C$13, 100%, $E$13) + CHOOSE(CONTROL!$C$25, 0.0003, 0)</f>
        <v>40.289100000000005</v>
      </c>
      <c r="D500" s="4">
        <f>45.7361 * CHOOSE(CONTROL!$C$6, $C$13, 100%, $E$13) + CHOOSE(CONTROL!$C$25, 0, 0)</f>
        <v>45.7361</v>
      </c>
      <c r="E500" s="4">
        <f>234.426268118131 * CHOOSE(CONTROL!$C$6, $C$13, 100%, $E$13) + CHOOSE(CONTROL!$C$25, 0, 0)</f>
        <v>234.42626811813099</v>
      </c>
    </row>
    <row r="501" spans="1:5" ht="15">
      <c r="A501" s="13">
        <v>57131</v>
      </c>
      <c r="B501" s="4">
        <f>41.5286 * CHOOSE(CONTROL!$C$6, $C$13, 100%, $E$13) + CHOOSE(CONTROL!$C$25, 0.0238, 0)</f>
        <v>41.552399999999999</v>
      </c>
      <c r="C501" s="4">
        <f>41.2161 * CHOOSE(CONTROL!$C$6, $C$13, 100%, $E$13) + CHOOSE(CONTROL!$C$25, 0.0238, 0)</f>
        <v>41.239899999999999</v>
      </c>
      <c r="D501" s="4">
        <f>45.2416 * CHOOSE(CONTROL!$C$6, $C$13, 100%, $E$13) + CHOOSE(CONTROL!$C$25, 0, 0)</f>
        <v>45.241599999999998</v>
      </c>
      <c r="E501" s="4">
        <f>240.039682480153 * CHOOSE(CONTROL!$C$6, $C$13, 100%, $E$13) + CHOOSE(CONTROL!$C$25, 0, 0)</f>
        <v>240.039682480153</v>
      </c>
    </row>
    <row r="502" spans="1:5" ht="15">
      <c r="A502" s="13">
        <v>57161</v>
      </c>
      <c r="B502" s="4">
        <f>41.654 * CHOOSE(CONTROL!$C$6, $C$13, 100%, $E$13) + CHOOSE(CONTROL!$C$25, 0.0238, 0)</f>
        <v>41.677800000000005</v>
      </c>
      <c r="C502" s="4">
        <f>41.3415 * CHOOSE(CONTROL!$C$6, $C$13, 100%, $E$13) + CHOOSE(CONTROL!$C$25, 0.0238, 0)</f>
        <v>41.365300000000005</v>
      </c>
      <c r="D502" s="4">
        <f>45.6443 * CHOOSE(CONTROL!$C$6, $C$13, 100%, $E$13) + CHOOSE(CONTROL!$C$25, 0, 0)</f>
        <v>45.644300000000001</v>
      </c>
      <c r="E502" s="4">
        <f>240.799200739483 * CHOOSE(CONTROL!$C$6, $C$13, 100%, $E$13) + CHOOSE(CONTROL!$C$25, 0, 0)</f>
        <v>240.79920073948301</v>
      </c>
    </row>
    <row r="503" spans="1:5" ht="15">
      <c r="A503" s="13">
        <v>57192</v>
      </c>
      <c r="B503" s="4">
        <f>41.6414 * CHOOSE(CONTROL!$C$6, $C$13, 100%, $E$13) + CHOOSE(CONTROL!$C$25, 0.0238, 0)</f>
        <v>41.665199999999999</v>
      </c>
      <c r="C503" s="4">
        <f>41.3289 * CHOOSE(CONTROL!$C$6, $C$13, 100%, $E$13) + CHOOSE(CONTROL!$C$25, 0.0238, 0)</f>
        <v>41.352699999999999</v>
      </c>
      <c r="D503" s="4">
        <f>46.371 * CHOOSE(CONTROL!$C$6, $C$13, 100%, $E$13) + CHOOSE(CONTROL!$C$25, 0, 0)</f>
        <v>46.371000000000002</v>
      </c>
      <c r="E503" s="4">
        <f>240.722610662912 * CHOOSE(CONTROL!$C$6, $C$13, 100%, $E$13) + CHOOSE(CONTROL!$C$25, 0, 0)</f>
        <v>240.72261066291199</v>
      </c>
    </row>
    <row r="504" spans="1:5" ht="15">
      <c r="A504" s="13">
        <v>57223</v>
      </c>
      <c r="B504" s="4">
        <f>42.5935 * CHOOSE(CONTROL!$C$6, $C$13, 100%, $E$13) + CHOOSE(CONTROL!$C$25, 0.0238, 0)</f>
        <v>42.6173</v>
      </c>
      <c r="C504" s="4">
        <f>42.281 * CHOOSE(CONTROL!$C$6, $C$13, 100%, $E$13) + CHOOSE(CONTROL!$C$25, 0.0238, 0)</f>
        <v>42.3048</v>
      </c>
      <c r="D504" s="4">
        <f>45.8911 * CHOOSE(CONTROL!$C$6, $C$13, 100%, $E$13) + CHOOSE(CONTROL!$C$25, 0, 0)</f>
        <v>45.891100000000002</v>
      </c>
      <c r="E504" s="4">
        <f>246.486013924886 * CHOOSE(CONTROL!$C$6, $C$13, 100%, $E$13) + CHOOSE(CONTROL!$C$25, 0, 0)</f>
        <v>246.48601392488601</v>
      </c>
    </row>
    <row r="505" spans="1:5" ht="15">
      <c r="A505" s="13">
        <v>57253</v>
      </c>
      <c r="B505" s="4">
        <f>40.9708 * CHOOSE(CONTROL!$C$6, $C$13, 100%, $E$13) + CHOOSE(CONTROL!$C$25, 0.0238, 0)</f>
        <v>40.994599999999998</v>
      </c>
      <c r="C505" s="4">
        <f>40.6583 * CHOOSE(CONTROL!$C$6, $C$13, 100%, $E$13) + CHOOSE(CONTROL!$C$25, 0.0238, 0)</f>
        <v>40.682099999999998</v>
      </c>
      <c r="D505" s="4">
        <f>45.6643 * CHOOSE(CONTROL!$C$6, $C$13, 100%, $E$13) + CHOOSE(CONTROL!$C$25, 0, 0)</f>
        <v>45.664299999999997</v>
      </c>
      <c r="E505" s="4">
        <f>236.663336604645 * CHOOSE(CONTROL!$C$6, $C$13, 100%, $E$13) + CHOOSE(CONTROL!$C$25, 0, 0)</f>
        <v>236.663336604645</v>
      </c>
    </row>
    <row r="506" spans="1:5" ht="15">
      <c r="A506" s="13">
        <v>57284</v>
      </c>
      <c r="B506" s="4">
        <f>39.6718 * CHOOSE(CONTROL!$C$6, $C$13, 100%, $E$13) + CHOOSE(CONTROL!$C$25, 0.0003, 0)</f>
        <v>39.6721</v>
      </c>
      <c r="C506" s="4">
        <f>39.3593 * CHOOSE(CONTROL!$C$6, $C$13, 100%, $E$13) + CHOOSE(CONTROL!$C$25, 0.0003, 0)</f>
        <v>39.3596</v>
      </c>
      <c r="D506" s="4">
        <f>45.0572 * CHOOSE(CONTROL!$C$6, $C$13, 100%, $E$13) + CHOOSE(CONTROL!$C$25, 0, 0)</f>
        <v>45.057200000000002</v>
      </c>
      <c r="E506" s="4">
        <f>228.800088743347 * CHOOSE(CONTROL!$C$6, $C$13, 100%, $E$13) + CHOOSE(CONTROL!$C$25, 0, 0)</f>
        <v>228.800088743347</v>
      </c>
    </row>
    <row r="507" spans="1:5" ht="15">
      <c r="A507" s="13">
        <v>57314</v>
      </c>
      <c r="B507" s="4">
        <f>38.8352 * CHOOSE(CONTROL!$C$6, $C$13, 100%, $E$13) + CHOOSE(CONTROL!$C$25, 0.0003, 0)</f>
        <v>38.835500000000003</v>
      </c>
      <c r="C507" s="4">
        <f>38.5227 * CHOOSE(CONTROL!$C$6, $C$13, 100%, $E$13) + CHOOSE(CONTROL!$C$25, 0.0003, 0)</f>
        <v>38.523000000000003</v>
      </c>
      <c r="D507" s="4">
        <f>44.8485 * CHOOSE(CONTROL!$C$6, $C$13, 100%, $E$13) + CHOOSE(CONTROL!$C$25, 0, 0)</f>
        <v>44.848500000000001</v>
      </c>
      <c r="E507" s="4">
        <f>223.735569930084 * CHOOSE(CONTROL!$C$6, $C$13, 100%, $E$13) + CHOOSE(CONTROL!$C$25, 0, 0)</f>
        <v>223.73556993008401</v>
      </c>
    </row>
    <row r="508" spans="1:5" ht="15">
      <c r="A508" s="13">
        <v>57345</v>
      </c>
      <c r="B508" s="4">
        <f>38.2564 * CHOOSE(CONTROL!$C$6, $C$13, 100%, $E$13) + CHOOSE(CONTROL!$C$25, 0.0003, 0)</f>
        <v>38.256700000000002</v>
      </c>
      <c r="C508" s="4">
        <f>37.9439 * CHOOSE(CONTROL!$C$6, $C$13, 100%, $E$13) + CHOOSE(CONTROL!$C$25, 0.0003, 0)</f>
        <v>37.944200000000002</v>
      </c>
      <c r="D508" s="4">
        <f>43.3118 * CHOOSE(CONTROL!$C$6, $C$13, 100%, $E$13) + CHOOSE(CONTROL!$C$25, 0, 0)</f>
        <v>43.311799999999998</v>
      </c>
      <c r="E508" s="4">
        <f>220.231573926957 * CHOOSE(CONTROL!$C$6, $C$13, 100%, $E$13) + CHOOSE(CONTROL!$C$25, 0, 0)</f>
        <v>220.231573926957</v>
      </c>
    </row>
    <row r="509" spans="1:5" ht="15">
      <c r="A509" s="13">
        <v>57376</v>
      </c>
      <c r="B509" s="4">
        <f>37.3159 * CHOOSE(CONTROL!$C$6, $C$13, 100%, $E$13) + CHOOSE(CONTROL!$C$25, 0.0003, 0)</f>
        <v>37.316200000000002</v>
      </c>
      <c r="C509" s="4">
        <f>37.0034 * CHOOSE(CONTROL!$C$6, $C$13, 100%, $E$13) + CHOOSE(CONTROL!$C$25, 0.0003, 0)</f>
        <v>37.003700000000002</v>
      </c>
      <c r="D509" s="4">
        <f>41.8995 * CHOOSE(CONTROL!$C$6, $C$13, 100%, $E$13) + CHOOSE(CONTROL!$C$25, 0, 0)</f>
        <v>41.899500000000003</v>
      </c>
      <c r="E509" s="4">
        <f>213.916171622496 * CHOOSE(CONTROL!$C$6, $C$13, 100%, $E$13) + CHOOSE(CONTROL!$C$25, 0, 0)</f>
        <v>213.91617162249599</v>
      </c>
    </row>
    <row r="510" spans="1:5" ht="15">
      <c r="A510" s="13">
        <v>57404</v>
      </c>
      <c r="B510" s="4">
        <f>38.1574 * CHOOSE(CONTROL!$C$6, $C$13, 100%, $E$13) + CHOOSE(CONTROL!$C$25, 0.0003, 0)</f>
        <v>38.157700000000006</v>
      </c>
      <c r="C510" s="4">
        <f>37.8449 * CHOOSE(CONTROL!$C$6, $C$13, 100%, $E$13) + CHOOSE(CONTROL!$C$25, 0.0003, 0)</f>
        <v>37.845200000000006</v>
      </c>
      <c r="D510" s="4">
        <f>43.3217 * CHOOSE(CONTROL!$C$6, $C$13, 100%, $E$13) + CHOOSE(CONTROL!$C$25, 0, 0)</f>
        <v>43.3217</v>
      </c>
      <c r="E510" s="4">
        <f>218.995384561074 * CHOOSE(CONTROL!$C$6, $C$13, 100%, $E$13) + CHOOSE(CONTROL!$C$25, 0, 0)</f>
        <v>218.99538456107399</v>
      </c>
    </row>
    <row r="511" spans="1:5" ht="15">
      <c r="A511" s="13">
        <v>57435</v>
      </c>
      <c r="B511" s="4">
        <f>40.3672 * CHOOSE(CONTROL!$C$6, $C$13, 100%, $E$13) + CHOOSE(CONTROL!$C$25, 0.0003, 0)</f>
        <v>40.3675</v>
      </c>
      <c r="C511" s="4">
        <f>40.0547 * CHOOSE(CONTROL!$C$6, $C$13, 100%, $E$13) + CHOOSE(CONTROL!$C$25, 0.0003, 0)</f>
        <v>40.055</v>
      </c>
      <c r="D511" s="4">
        <f>45.5481 * CHOOSE(CONTROL!$C$6, $C$13, 100%, $E$13) + CHOOSE(CONTROL!$C$25, 0, 0)</f>
        <v>45.548099999999998</v>
      </c>
      <c r="E511" s="4">
        <f>232.33366766355 * CHOOSE(CONTROL!$C$6, $C$13, 100%, $E$13) + CHOOSE(CONTROL!$C$25, 0, 0)</f>
        <v>232.33366766354999</v>
      </c>
    </row>
    <row r="512" spans="1:5" ht="15">
      <c r="A512" s="13">
        <v>57465</v>
      </c>
      <c r="B512" s="4">
        <f>41.9373 * CHOOSE(CONTROL!$C$6, $C$13, 100%, $E$13) + CHOOSE(CONTROL!$C$25, 0.0003, 0)</f>
        <v>41.937600000000003</v>
      </c>
      <c r="C512" s="4">
        <f>41.6248 * CHOOSE(CONTROL!$C$6, $C$13, 100%, $E$13) + CHOOSE(CONTROL!$C$25, 0.0003, 0)</f>
        <v>41.625100000000003</v>
      </c>
      <c r="D512" s="4">
        <f>46.8306 * CHOOSE(CONTROL!$C$6, $C$13, 100%, $E$13) + CHOOSE(CONTROL!$C$25, 0, 0)</f>
        <v>46.830599999999997</v>
      </c>
      <c r="E512" s="4">
        <f>241.810695563852 * CHOOSE(CONTROL!$C$6, $C$13, 100%, $E$13) + CHOOSE(CONTROL!$C$25, 0, 0)</f>
        <v>241.81069556385199</v>
      </c>
    </row>
    <row r="513" spans="1:5" ht="15">
      <c r="A513" s="13">
        <v>57496</v>
      </c>
      <c r="B513" s="4">
        <f>42.8966 * CHOOSE(CONTROL!$C$6, $C$13, 100%, $E$13) + CHOOSE(CONTROL!$C$25, 0.0238, 0)</f>
        <v>42.920400000000001</v>
      </c>
      <c r="C513" s="4">
        <f>42.5841 * CHOOSE(CONTROL!$C$6, $C$13, 100%, $E$13) + CHOOSE(CONTROL!$C$25, 0.0238, 0)</f>
        <v>42.607900000000001</v>
      </c>
      <c r="D513" s="4">
        <f>46.3238 * CHOOSE(CONTROL!$C$6, $C$13, 100%, $E$13) + CHOOSE(CONTROL!$C$25, 0, 0)</f>
        <v>46.323799999999999</v>
      </c>
      <c r="E513" s="4">
        <f>247.600932478278 * CHOOSE(CONTROL!$C$6, $C$13, 100%, $E$13) + CHOOSE(CONTROL!$C$25, 0, 0)</f>
        <v>247.600932478278</v>
      </c>
    </row>
    <row r="514" spans="1:5" ht="15">
      <c r="A514" s="13">
        <v>57526</v>
      </c>
      <c r="B514" s="4">
        <f>43.0264 * CHOOSE(CONTROL!$C$6, $C$13, 100%, $E$13) + CHOOSE(CONTROL!$C$25, 0.0238, 0)</f>
        <v>43.050200000000004</v>
      </c>
      <c r="C514" s="4">
        <f>42.7139 * CHOOSE(CONTROL!$C$6, $C$13, 100%, $E$13) + CHOOSE(CONTROL!$C$25, 0.0238, 0)</f>
        <v>42.737700000000004</v>
      </c>
      <c r="D514" s="4">
        <f>46.7365 * CHOOSE(CONTROL!$C$6, $C$13, 100%, $E$13) + CHOOSE(CONTROL!$C$25, 0, 0)</f>
        <v>46.736499999999999</v>
      </c>
      <c r="E514" s="4">
        <f>248.384375562777 * CHOOSE(CONTROL!$C$6, $C$13, 100%, $E$13) + CHOOSE(CONTROL!$C$25, 0, 0)</f>
        <v>248.384375562777</v>
      </c>
    </row>
    <row r="515" spans="1:5" ht="15">
      <c r="A515" s="13">
        <v>57557</v>
      </c>
      <c r="B515" s="4">
        <f>43.0133 * CHOOSE(CONTROL!$C$6, $C$13, 100%, $E$13) + CHOOSE(CONTROL!$C$25, 0.0238, 0)</f>
        <v>43.037100000000002</v>
      </c>
      <c r="C515" s="4">
        <f>42.7008 * CHOOSE(CONTROL!$C$6, $C$13, 100%, $E$13) + CHOOSE(CONTROL!$C$25, 0.0238, 0)</f>
        <v>42.724600000000002</v>
      </c>
      <c r="D515" s="4">
        <f>47.4812 * CHOOSE(CONTROL!$C$6, $C$13, 100%, $E$13) + CHOOSE(CONTROL!$C$25, 0, 0)</f>
        <v>47.481200000000001</v>
      </c>
      <c r="E515" s="4">
        <f>248.305372898794 * CHOOSE(CONTROL!$C$6, $C$13, 100%, $E$13) + CHOOSE(CONTROL!$C$25, 0, 0)</f>
        <v>248.30537289879399</v>
      </c>
    </row>
    <row r="516" spans="1:5" ht="15">
      <c r="A516" s="13">
        <v>57588</v>
      </c>
      <c r="B516" s="4">
        <f>43.9983 * CHOOSE(CONTROL!$C$6, $C$13, 100%, $E$13) + CHOOSE(CONTROL!$C$25, 0.0238, 0)</f>
        <v>44.022100000000002</v>
      </c>
      <c r="C516" s="4">
        <f>43.6858 * CHOOSE(CONTROL!$C$6, $C$13, 100%, $E$13) + CHOOSE(CONTROL!$C$25, 0.0238, 0)</f>
        <v>43.709600000000002</v>
      </c>
      <c r="D516" s="4">
        <f>46.9894 * CHOOSE(CONTROL!$C$6, $C$13, 100%, $E$13) + CHOOSE(CONTROL!$C$25, 0, 0)</f>
        <v>46.989400000000003</v>
      </c>
      <c r="E516" s="4">
        <f>254.25032336352 * CHOOSE(CONTROL!$C$6, $C$13, 100%, $E$13) + CHOOSE(CONTROL!$C$25, 0, 0)</f>
        <v>254.25032336352001</v>
      </c>
    </row>
    <row r="517" spans="1:5" ht="15">
      <c r="A517" s="13">
        <v>57618</v>
      </c>
      <c r="B517" s="4">
        <f>42.3196 * CHOOSE(CONTROL!$C$6, $C$13, 100%, $E$13) + CHOOSE(CONTROL!$C$25, 0.0238, 0)</f>
        <v>42.343400000000003</v>
      </c>
      <c r="C517" s="4">
        <f>42.0071 * CHOOSE(CONTROL!$C$6, $C$13, 100%, $E$13) + CHOOSE(CONTROL!$C$25, 0.0238, 0)</f>
        <v>42.030900000000003</v>
      </c>
      <c r="D517" s="4">
        <f>46.757 * CHOOSE(CONTROL!$C$6, $C$13, 100%, $E$13) + CHOOSE(CONTROL!$C$25, 0, 0)</f>
        <v>46.756999999999998</v>
      </c>
      <c r="E517" s="4">
        <f>244.118231707691 * CHOOSE(CONTROL!$C$6, $C$13, 100%, $E$13) + CHOOSE(CONTROL!$C$25, 0, 0)</f>
        <v>244.118231707691</v>
      </c>
    </row>
    <row r="518" spans="1:5" ht="15">
      <c r="A518" s="13">
        <v>57649</v>
      </c>
      <c r="B518" s="4">
        <f>40.9758 * CHOOSE(CONTROL!$C$6, $C$13, 100%, $E$13) + CHOOSE(CONTROL!$C$25, 0.0003, 0)</f>
        <v>40.976100000000002</v>
      </c>
      <c r="C518" s="4">
        <f>40.6633 * CHOOSE(CONTROL!$C$6, $C$13, 100%, $E$13) + CHOOSE(CONTROL!$C$25, 0.0003, 0)</f>
        <v>40.663600000000002</v>
      </c>
      <c r="D518" s="4">
        <f>46.1349 * CHOOSE(CONTROL!$C$6, $C$13, 100%, $E$13) + CHOOSE(CONTROL!$C$25, 0, 0)</f>
        <v>46.134900000000002</v>
      </c>
      <c r="E518" s="4">
        <f>236.007291538763 * CHOOSE(CONTROL!$C$6, $C$13, 100%, $E$13) + CHOOSE(CONTROL!$C$25, 0, 0)</f>
        <v>236.00729153876301</v>
      </c>
    </row>
    <row r="519" spans="1:5" ht="15">
      <c r="A519" s="13">
        <v>57679</v>
      </c>
      <c r="B519" s="4">
        <f>40.1103 * CHOOSE(CONTROL!$C$6, $C$13, 100%, $E$13) + CHOOSE(CONTROL!$C$25, 0.0003, 0)</f>
        <v>40.110600000000005</v>
      </c>
      <c r="C519" s="4">
        <f>39.7978 * CHOOSE(CONTROL!$C$6, $C$13, 100%, $E$13) + CHOOSE(CONTROL!$C$25, 0.0003, 0)</f>
        <v>39.798100000000005</v>
      </c>
      <c r="D519" s="4">
        <f>45.921 * CHOOSE(CONTROL!$C$6, $C$13, 100%, $E$13) + CHOOSE(CONTROL!$C$25, 0, 0)</f>
        <v>45.920999999999999</v>
      </c>
      <c r="E519" s="4">
        <f>230.783240382882 * CHOOSE(CONTROL!$C$6, $C$13, 100%, $E$13) + CHOOSE(CONTROL!$C$25, 0, 0)</f>
        <v>230.78324038288201</v>
      </c>
    </row>
    <row r="520" spans="1:5" ht="15">
      <c r="A520" s="13">
        <v>57710</v>
      </c>
      <c r="B520" s="4">
        <f>39.5115 * CHOOSE(CONTROL!$C$6, $C$13, 100%, $E$13) + CHOOSE(CONTROL!$C$25, 0.0003, 0)</f>
        <v>39.511800000000001</v>
      </c>
      <c r="C520" s="4">
        <f>39.199 * CHOOSE(CONTROL!$C$6, $C$13, 100%, $E$13) + CHOOSE(CONTROL!$C$25, 0.0003, 0)</f>
        <v>39.199300000000001</v>
      </c>
      <c r="D520" s="4">
        <f>44.3462 * CHOOSE(CONTROL!$C$6, $C$13, 100%, $E$13) + CHOOSE(CONTROL!$C$25, 0, 0)</f>
        <v>44.346200000000003</v>
      </c>
      <c r="E520" s="4">
        <f>227.168868505656 * CHOOSE(CONTROL!$C$6, $C$13, 100%, $E$13) + CHOOSE(CONTROL!$C$25, 0, 0)</f>
        <v>227.16886850565601</v>
      </c>
    </row>
    <row r="521" spans="1:5" ht="15">
      <c r="A521" s="13">
        <v>57741</v>
      </c>
      <c r="B521" s="4">
        <f>38.5386 * CHOOSE(CONTROL!$C$6, $C$13, 100%, $E$13) + CHOOSE(CONTROL!$C$25, 0.0003, 0)</f>
        <v>38.538900000000005</v>
      </c>
      <c r="C521" s="4">
        <f>38.2261 * CHOOSE(CONTROL!$C$6, $C$13, 100%, $E$13) + CHOOSE(CONTROL!$C$25, 0.0003, 0)</f>
        <v>38.226400000000005</v>
      </c>
      <c r="D521" s="4">
        <f>42.8989 * CHOOSE(CONTROL!$C$6, $C$13, 100%, $E$13) + CHOOSE(CONTROL!$C$25, 0, 0)</f>
        <v>42.898899999999998</v>
      </c>
      <c r="E521" s="4">
        <f>220.654531028605 * CHOOSE(CONTROL!$C$6, $C$13, 100%, $E$13) + CHOOSE(CONTROL!$C$25, 0, 0)</f>
        <v>220.65453102860499</v>
      </c>
    </row>
    <row r="522" spans="1:5" ht="15">
      <c r="A522" s="13">
        <v>57769</v>
      </c>
      <c r="B522" s="4">
        <f>39.4091 * CHOOSE(CONTROL!$C$6, $C$13, 100%, $E$13) + CHOOSE(CONTROL!$C$25, 0.0003, 0)</f>
        <v>39.409400000000005</v>
      </c>
      <c r="C522" s="4">
        <f>39.0966 * CHOOSE(CONTROL!$C$6, $C$13, 100%, $E$13) + CHOOSE(CONTROL!$C$25, 0.0003, 0)</f>
        <v>39.096900000000005</v>
      </c>
      <c r="D522" s="4">
        <f>44.3564 * CHOOSE(CONTROL!$C$6, $C$13, 100%, $E$13) + CHOOSE(CONTROL!$C$25, 0, 0)</f>
        <v>44.356400000000001</v>
      </c>
      <c r="E522" s="4">
        <f>225.893739174748 * CHOOSE(CONTROL!$C$6, $C$13, 100%, $E$13) + CHOOSE(CONTROL!$C$25, 0, 0)</f>
        <v>225.89373917474799</v>
      </c>
    </row>
    <row r="523" spans="1:5" ht="15">
      <c r="A523" s="13">
        <v>57800</v>
      </c>
      <c r="B523" s="4">
        <f>41.6952 * CHOOSE(CONTROL!$C$6, $C$13, 100%, $E$13) + CHOOSE(CONTROL!$C$25, 0.0003, 0)</f>
        <v>41.695500000000003</v>
      </c>
      <c r="C523" s="4">
        <f>41.3827 * CHOOSE(CONTROL!$C$6, $C$13, 100%, $E$13) + CHOOSE(CONTROL!$C$25, 0.0003, 0)</f>
        <v>41.383000000000003</v>
      </c>
      <c r="D523" s="4">
        <f>46.6379 * CHOOSE(CONTROL!$C$6, $C$13, 100%, $E$13) + CHOOSE(CONTROL!$C$25, 0, 0)</f>
        <v>46.637900000000002</v>
      </c>
      <c r="E523" s="4">
        <f>239.652178194952 * CHOOSE(CONTROL!$C$6, $C$13, 100%, $E$13) + CHOOSE(CONTROL!$C$25, 0, 0)</f>
        <v>239.652178194952</v>
      </c>
    </row>
    <row r="524" spans="1:5" ht="15">
      <c r="A524" s="13">
        <v>57830</v>
      </c>
      <c r="B524" s="4">
        <f>43.3195 * CHOOSE(CONTROL!$C$6, $C$13, 100%, $E$13) + CHOOSE(CONTROL!$C$25, 0.0003, 0)</f>
        <v>43.319800000000001</v>
      </c>
      <c r="C524" s="4">
        <f>43.007 * CHOOSE(CONTROL!$C$6, $C$13, 100%, $E$13) + CHOOSE(CONTROL!$C$25, 0.0003, 0)</f>
        <v>43.007300000000001</v>
      </c>
      <c r="D524" s="4">
        <f>47.9522 * CHOOSE(CONTROL!$C$6, $C$13, 100%, $E$13) + CHOOSE(CONTROL!$C$25, 0, 0)</f>
        <v>47.952199999999998</v>
      </c>
      <c r="E524" s="4">
        <f>249.427732474114 * CHOOSE(CONTROL!$C$6, $C$13, 100%, $E$13) + CHOOSE(CONTROL!$C$25, 0, 0)</f>
        <v>249.42773247411401</v>
      </c>
    </row>
    <row r="525" spans="1:5" ht="15">
      <c r="A525" s="13">
        <v>57861</v>
      </c>
      <c r="B525" s="4">
        <f>44.3119 * CHOOSE(CONTROL!$C$6, $C$13, 100%, $E$13) + CHOOSE(CONTROL!$C$25, 0.0238, 0)</f>
        <v>44.335700000000003</v>
      </c>
      <c r="C525" s="4">
        <f>43.9994 * CHOOSE(CONTROL!$C$6, $C$13, 100%, $E$13) + CHOOSE(CONTROL!$C$25, 0.0238, 0)</f>
        <v>44.023200000000003</v>
      </c>
      <c r="D525" s="4">
        <f>47.4329 * CHOOSE(CONTROL!$C$6, $C$13, 100%, $E$13) + CHOOSE(CONTROL!$C$25, 0, 0)</f>
        <v>47.432899999999997</v>
      </c>
      <c r="E525" s="4">
        <f>255.400361851344 * CHOOSE(CONTROL!$C$6, $C$13, 100%, $E$13) + CHOOSE(CONTROL!$C$25, 0, 0)</f>
        <v>255.400361851344</v>
      </c>
    </row>
    <row r="526" spans="1:5" ht="15">
      <c r="A526" s="13">
        <v>57891</v>
      </c>
      <c r="B526" s="4">
        <f>44.4461 * CHOOSE(CONTROL!$C$6, $C$13, 100%, $E$13) + CHOOSE(CONTROL!$C$25, 0.0238, 0)</f>
        <v>44.469900000000003</v>
      </c>
      <c r="C526" s="4">
        <f>44.1336 * CHOOSE(CONTROL!$C$6, $C$13, 100%, $E$13) + CHOOSE(CONTROL!$C$25, 0.0238, 0)</f>
        <v>44.157400000000003</v>
      </c>
      <c r="D526" s="4">
        <f>47.8558 * CHOOSE(CONTROL!$C$6, $C$13, 100%, $E$13) + CHOOSE(CONTROL!$C$25, 0, 0)</f>
        <v>47.855800000000002</v>
      </c>
      <c r="E526" s="4">
        <f>256.208483393005 * CHOOSE(CONTROL!$C$6, $C$13, 100%, $E$13) + CHOOSE(CONTROL!$C$25, 0, 0)</f>
        <v>256.208483393005</v>
      </c>
    </row>
    <row r="527" spans="1:5" ht="15">
      <c r="A527" s="13">
        <v>57922</v>
      </c>
      <c r="B527" s="4">
        <f>44.4326 * CHOOSE(CONTROL!$C$6, $C$13, 100%, $E$13) + CHOOSE(CONTROL!$C$25, 0.0238, 0)</f>
        <v>44.456400000000002</v>
      </c>
      <c r="C527" s="4">
        <f>44.1201 * CHOOSE(CONTROL!$C$6, $C$13, 100%, $E$13) + CHOOSE(CONTROL!$C$25, 0.0238, 0)</f>
        <v>44.143900000000002</v>
      </c>
      <c r="D527" s="4">
        <f>48.619 * CHOOSE(CONTROL!$C$6, $C$13, 100%, $E$13) + CHOOSE(CONTROL!$C$25, 0, 0)</f>
        <v>48.619</v>
      </c>
      <c r="E527" s="4">
        <f>256.126992145106 * CHOOSE(CONTROL!$C$6, $C$13, 100%, $E$13) + CHOOSE(CONTROL!$C$25, 0, 0)</f>
        <v>256.12699214510599</v>
      </c>
    </row>
    <row r="528" spans="1:5" ht="15">
      <c r="A528" s="13">
        <v>57953</v>
      </c>
      <c r="B528" s="4">
        <f>45.4515 * CHOOSE(CONTROL!$C$6, $C$13, 100%, $E$13) + CHOOSE(CONTROL!$C$25, 0.0238, 0)</f>
        <v>45.475300000000004</v>
      </c>
      <c r="C528" s="4">
        <f>45.139 * CHOOSE(CONTROL!$C$6, $C$13, 100%, $E$13) + CHOOSE(CONTROL!$C$25, 0.0238, 0)</f>
        <v>45.162800000000004</v>
      </c>
      <c r="D528" s="4">
        <f>48.115 * CHOOSE(CONTROL!$C$6, $C$13, 100%, $E$13) + CHOOSE(CONTROL!$C$25, 0, 0)</f>
        <v>48.115000000000002</v>
      </c>
      <c r="E528" s="4">
        <f>262.259208549471 * CHOOSE(CONTROL!$C$6, $C$13, 100%, $E$13) + CHOOSE(CONTROL!$C$25, 0, 0)</f>
        <v>262.259208549471</v>
      </c>
    </row>
    <row r="529" spans="1:5" ht="15">
      <c r="A529" s="13">
        <v>57983</v>
      </c>
      <c r="B529" s="4">
        <f>43.715 * CHOOSE(CONTROL!$C$6, $C$13, 100%, $E$13) + CHOOSE(CONTROL!$C$25, 0.0238, 0)</f>
        <v>43.738800000000005</v>
      </c>
      <c r="C529" s="4">
        <f>43.4025 * CHOOSE(CONTROL!$C$6, $C$13, 100%, $E$13) + CHOOSE(CONTROL!$C$25, 0.0238, 0)</f>
        <v>43.426300000000005</v>
      </c>
      <c r="D529" s="4">
        <f>47.8769 * CHOOSE(CONTROL!$C$6, $C$13, 100%, $E$13) + CHOOSE(CONTROL!$C$25, 0, 0)</f>
        <v>47.876899999999999</v>
      </c>
      <c r="E529" s="4">
        <f>251.807956006484 * CHOOSE(CONTROL!$C$6, $C$13, 100%, $E$13) + CHOOSE(CONTROL!$C$25, 0, 0)</f>
        <v>251.80795600648401</v>
      </c>
    </row>
    <row r="530" spans="1:5" ht="15">
      <c r="A530" s="13">
        <v>58014</v>
      </c>
      <c r="B530" s="4">
        <f>42.3248 * CHOOSE(CONTROL!$C$6, $C$13, 100%, $E$13) + CHOOSE(CONTROL!$C$25, 0.0003, 0)</f>
        <v>42.325100000000006</v>
      </c>
      <c r="C530" s="4">
        <f>42.0123 * CHOOSE(CONTROL!$C$6, $C$13, 100%, $E$13) + CHOOSE(CONTROL!$C$25, 0.0003, 0)</f>
        <v>42.012600000000006</v>
      </c>
      <c r="D530" s="4">
        <f>47.2393 * CHOOSE(CONTROL!$C$6, $C$13, 100%, $E$13) + CHOOSE(CONTROL!$C$25, 0, 0)</f>
        <v>47.2393</v>
      </c>
      <c r="E530" s="4">
        <f>243.441521222234 * CHOOSE(CONTROL!$C$6, $C$13, 100%, $E$13) + CHOOSE(CONTROL!$C$25, 0, 0)</f>
        <v>243.441521222234</v>
      </c>
    </row>
    <row r="531" spans="1:5" ht="15">
      <c r="A531" s="13">
        <v>58044</v>
      </c>
      <c r="B531" s="4">
        <f>41.4295 * CHOOSE(CONTROL!$C$6, $C$13, 100%, $E$13) + CHOOSE(CONTROL!$C$25, 0.0003, 0)</f>
        <v>41.4298</v>
      </c>
      <c r="C531" s="4">
        <f>41.117 * CHOOSE(CONTROL!$C$6, $C$13, 100%, $E$13) + CHOOSE(CONTROL!$C$25, 0.0003, 0)</f>
        <v>41.1173</v>
      </c>
      <c r="D531" s="4">
        <f>47.0201 * CHOOSE(CONTROL!$C$6, $C$13, 100%, $E$13) + CHOOSE(CONTROL!$C$25, 0, 0)</f>
        <v>47.020099999999999</v>
      </c>
      <c r="E531" s="4">
        <f>238.052912454943 * CHOOSE(CONTROL!$C$6, $C$13, 100%, $E$13) + CHOOSE(CONTROL!$C$25, 0, 0)</f>
        <v>238.052912454943</v>
      </c>
    </row>
    <row r="532" spans="1:5" ht="15">
      <c r="A532" s="13">
        <v>58075</v>
      </c>
      <c r="B532" s="4">
        <f>40.81 * CHOOSE(CONTROL!$C$6, $C$13, 100%, $E$13) + CHOOSE(CONTROL!$C$25, 0.0003, 0)</f>
        <v>40.810300000000005</v>
      </c>
      <c r="C532" s="4">
        <f>40.4975 * CHOOSE(CONTROL!$C$6, $C$13, 100%, $E$13) + CHOOSE(CONTROL!$C$25, 0.0003, 0)</f>
        <v>40.497800000000005</v>
      </c>
      <c r="D532" s="4">
        <f>45.4062 * CHOOSE(CONTROL!$C$6, $C$13, 100%, $E$13) + CHOOSE(CONTROL!$C$25, 0, 0)</f>
        <v>45.406199999999998</v>
      </c>
      <c r="E532" s="4">
        <f>234.324687863585 * CHOOSE(CONTROL!$C$6, $C$13, 100%, $E$13) + CHOOSE(CONTROL!$C$25, 0, 0)</f>
        <v>234.32468786358501</v>
      </c>
    </row>
    <row r="533" spans="1:5" ht="15">
      <c r="A533" s="13">
        <v>58106</v>
      </c>
      <c r="B533" s="4">
        <f>39.8035 * CHOOSE(CONTROL!$C$6, $C$13, 100%, $E$13) + CHOOSE(CONTROL!$C$25, 0.0003, 0)</f>
        <v>39.803800000000003</v>
      </c>
      <c r="C533" s="4">
        <f>39.491 * CHOOSE(CONTROL!$C$6, $C$13, 100%, $E$13) + CHOOSE(CONTROL!$C$25, 0.0003, 0)</f>
        <v>39.491300000000003</v>
      </c>
      <c r="D533" s="4">
        <f>43.923 * CHOOSE(CONTROL!$C$6, $C$13, 100%, $E$13) + CHOOSE(CONTROL!$C$25, 0, 0)</f>
        <v>43.923000000000002</v>
      </c>
      <c r="E533" s="4">
        <f>227.605148756006 * CHOOSE(CONTROL!$C$6, $C$13, 100%, $E$13) + CHOOSE(CONTROL!$C$25, 0, 0)</f>
        <v>227.605148756006</v>
      </c>
    </row>
    <row r="534" spans="1:5" ht="15">
      <c r="A534" s="13">
        <v>58134</v>
      </c>
      <c r="B534" s="4">
        <f>40.704 * CHOOSE(CONTROL!$C$6, $C$13, 100%, $E$13) + CHOOSE(CONTROL!$C$25, 0.0003, 0)</f>
        <v>40.704300000000003</v>
      </c>
      <c r="C534" s="4">
        <f>40.3915 * CHOOSE(CONTROL!$C$6, $C$13, 100%, $E$13) + CHOOSE(CONTROL!$C$25, 0.0003, 0)</f>
        <v>40.391800000000003</v>
      </c>
      <c r="D534" s="4">
        <f>45.4166 * CHOOSE(CONTROL!$C$6, $C$13, 100%, $E$13) + CHOOSE(CONTROL!$C$25, 0, 0)</f>
        <v>45.416600000000003</v>
      </c>
      <c r="E534" s="4">
        <f>233.009391958753 * CHOOSE(CONTROL!$C$6, $C$13, 100%, $E$13) + CHOOSE(CONTROL!$C$25, 0, 0)</f>
        <v>233.00939195875301</v>
      </c>
    </row>
    <row r="535" spans="1:5" ht="15">
      <c r="A535" s="13">
        <v>58165</v>
      </c>
      <c r="B535" s="4">
        <f>43.069 * CHOOSE(CONTROL!$C$6, $C$13, 100%, $E$13) + CHOOSE(CONTROL!$C$25, 0.0003, 0)</f>
        <v>43.069300000000005</v>
      </c>
      <c r="C535" s="4">
        <f>42.7565 * CHOOSE(CONTROL!$C$6, $C$13, 100%, $E$13) + CHOOSE(CONTROL!$C$25, 0.0003, 0)</f>
        <v>42.756800000000005</v>
      </c>
      <c r="D535" s="4">
        <f>47.7548 * CHOOSE(CONTROL!$C$6, $C$13, 100%, $E$13) + CHOOSE(CONTROL!$C$25, 0, 0)</f>
        <v>47.754800000000003</v>
      </c>
      <c r="E535" s="4">
        <f>247.201221808092 * CHOOSE(CONTROL!$C$6, $C$13, 100%, $E$13) + CHOOSE(CONTROL!$C$25, 0, 0)</f>
        <v>247.20122180809199</v>
      </c>
    </row>
    <row r="536" spans="1:5" ht="15">
      <c r="A536" s="13">
        <v>58195</v>
      </c>
      <c r="B536" s="4">
        <f>44.7493 * CHOOSE(CONTROL!$C$6, $C$13, 100%, $E$13) + CHOOSE(CONTROL!$C$25, 0.0003, 0)</f>
        <v>44.749600000000001</v>
      </c>
      <c r="C536" s="4">
        <f>44.4368 * CHOOSE(CONTROL!$C$6, $C$13, 100%, $E$13) + CHOOSE(CONTROL!$C$25, 0.0003, 0)</f>
        <v>44.437100000000001</v>
      </c>
      <c r="D536" s="4">
        <f>49.1017 * CHOOSE(CONTROL!$C$6, $C$13, 100%, $E$13) + CHOOSE(CONTROL!$C$25, 0, 0)</f>
        <v>49.101700000000001</v>
      </c>
      <c r="E536" s="4">
        <f>257.284706047048 * CHOOSE(CONTROL!$C$6, $C$13, 100%, $E$13) + CHOOSE(CONTROL!$C$25, 0, 0)</f>
        <v>257.28470604704802</v>
      </c>
    </row>
    <row r="537" spans="1:5" ht="15">
      <c r="A537" s="13">
        <v>58226</v>
      </c>
      <c r="B537" s="4">
        <f>45.7759 * CHOOSE(CONTROL!$C$6, $C$13, 100%, $E$13) + CHOOSE(CONTROL!$C$25, 0.0238, 0)</f>
        <v>45.799700000000001</v>
      </c>
      <c r="C537" s="4">
        <f>45.4634 * CHOOSE(CONTROL!$C$6, $C$13, 100%, $E$13) + CHOOSE(CONTROL!$C$25, 0.0238, 0)</f>
        <v>45.487200000000001</v>
      </c>
      <c r="D537" s="4">
        <f>48.5694 * CHOOSE(CONTROL!$C$6, $C$13, 100%, $E$13) + CHOOSE(CONTROL!$C$25, 0, 0)</f>
        <v>48.569400000000002</v>
      </c>
      <c r="E537" s="4">
        <f>263.445473249661 * CHOOSE(CONTROL!$C$6, $C$13, 100%, $E$13) + CHOOSE(CONTROL!$C$25, 0, 0)</f>
        <v>263.44547324966101</v>
      </c>
    </row>
    <row r="538" spans="1:5" ht="15">
      <c r="A538" s="13">
        <v>58256</v>
      </c>
      <c r="B538" s="4">
        <f>45.9149 * CHOOSE(CONTROL!$C$6, $C$13, 100%, $E$13) + CHOOSE(CONTROL!$C$25, 0.0238, 0)</f>
        <v>45.938700000000004</v>
      </c>
      <c r="C538" s="4">
        <f>45.6024 * CHOOSE(CONTROL!$C$6, $C$13, 100%, $E$13) + CHOOSE(CONTROL!$C$25, 0.0238, 0)</f>
        <v>45.626200000000004</v>
      </c>
      <c r="D538" s="4">
        <f>49.0029 * CHOOSE(CONTROL!$C$6, $C$13, 100%, $E$13) + CHOOSE(CONTROL!$C$25, 0, 0)</f>
        <v>49.002899999999997</v>
      </c>
      <c r="E538" s="4">
        <f>264.279050619884 * CHOOSE(CONTROL!$C$6, $C$13, 100%, $E$13) + CHOOSE(CONTROL!$C$25, 0, 0)</f>
        <v>264.279050619884</v>
      </c>
    </row>
    <row r="539" spans="1:5" ht="15">
      <c r="A539" s="13">
        <v>58287</v>
      </c>
      <c r="B539" s="4">
        <f>45.9008 * CHOOSE(CONTROL!$C$6, $C$13, 100%, $E$13) + CHOOSE(CONTROL!$C$25, 0.0238, 0)</f>
        <v>45.924599999999998</v>
      </c>
      <c r="C539" s="4">
        <f>45.5883 * CHOOSE(CONTROL!$C$6, $C$13, 100%, $E$13) + CHOOSE(CONTROL!$C$25, 0.0238, 0)</f>
        <v>45.612099999999998</v>
      </c>
      <c r="D539" s="4">
        <f>49.785 * CHOOSE(CONTROL!$C$6, $C$13, 100%, $E$13) + CHOOSE(CONTROL!$C$25, 0, 0)</f>
        <v>49.784999999999997</v>
      </c>
      <c r="E539" s="4">
        <f>264.194992397677 * CHOOSE(CONTROL!$C$6, $C$13, 100%, $E$13) + CHOOSE(CONTROL!$C$25, 0, 0)</f>
        <v>264.19499239767703</v>
      </c>
    </row>
    <row r="540" spans="1:5" ht="15">
      <c r="A540" s="13">
        <v>58318</v>
      </c>
      <c r="B540" s="4">
        <f>46.9549 * CHOOSE(CONTROL!$C$6, $C$13, 100%, $E$13) + CHOOSE(CONTROL!$C$25, 0.0238, 0)</f>
        <v>46.978700000000003</v>
      </c>
      <c r="C540" s="4">
        <f>46.6424 * CHOOSE(CONTROL!$C$6, $C$13, 100%, $E$13) + CHOOSE(CONTROL!$C$25, 0.0238, 0)</f>
        <v>46.666200000000003</v>
      </c>
      <c r="D540" s="4">
        <f>49.2685 * CHOOSE(CONTROL!$C$6, $C$13, 100%, $E$13) + CHOOSE(CONTROL!$C$25, 0, 0)</f>
        <v>49.268500000000003</v>
      </c>
      <c r="E540" s="4">
        <f>270.520373618779 * CHOOSE(CONTROL!$C$6, $C$13, 100%, $E$13) + CHOOSE(CONTROL!$C$25, 0, 0)</f>
        <v>270.52037361877899</v>
      </c>
    </row>
    <row r="541" spans="1:5" ht="15">
      <c r="A541" s="13">
        <v>58348</v>
      </c>
      <c r="B541" s="4">
        <f>45.1584 * CHOOSE(CONTROL!$C$6, $C$13, 100%, $E$13) + CHOOSE(CONTROL!$C$25, 0.0238, 0)</f>
        <v>45.182200000000002</v>
      </c>
      <c r="C541" s="4">
        <f>44.8459 * CHOOSE(CONTROL!$C$6, $C$13, 100%, $E$13) + CHOOSE(CONTROL!$C$25, 0.0238, 0)</f>
        <v>44.869700000000002</v>
      </c>
      <c r="D541" s="4">
        <f>49.0244 * CHOOSE(CONTROL!$C$6, $C$13, 100%, $E$13) + CHOOSE(CONTROL!$C$25, 0, 0)</f>
        <v>49.0244</v>
      </c>
      <c r="E541" s="4">
        <f>259.739906620688 * CHOOSE(CONTROL!$C$6, $C$13, 100%, $E$13) + CHOOSE(CONTROL!$C$25, 0, 0)</f>
        <v>259.73990662068798</v>
      </c>
    </row>
    <row r="542" spans="1:5" ht="15">
      <c r="A542" s="13">
        <v>58379</v>
      </c>
      <c r="B542" s="4">
        <f>43.7203 * CHOOSE(CONTROL!$C$6, $C$13, 100%, $E$13) + CHOOSE(CONTROL!$C$25, 0.0003, 0)</f>
        <v>43.720600000000005</v>
      </c>
      <c r="C542" s="4">
        <f>43.4078 * CHOOSE(CONTROL!$C$6, $C$13, 100%, $E$13) + CHOOSE(CONTROL!$C$25, 0.0003, 0)</f>
        <v>43.408100000000005</v>
      </c>
      <c r="D542" s="4">
        <f>48.371 * CHOOSE(CONTROL!$C$6, $C$13, 100%, $E$13) + CHOOSE(CONTROL!$C$25, 0, 0)</f>
        <v>48.371000000000002</v>
      </c>
      <c r="E542" s="4">
        <f>251.109929140734 * CHOOSE(CONTROL!$C$6, $C$13, 100%, $E$13) + CHOOSE(CONTROL!$C$25, 0, 0)</f>
        <v>251.10992914073401</v>
      </c>
    </row>
    <row r="543" spans="1:5" ht="15">
      <c r="A543" s="13">
        <v>58409</v>
      </c>
      <c r="B543" s="4">
        <f>42.7941 * CHOOSE(CONTROL!$C$6, $C$13, 100%, $E$13) + CHOOSE(CONTROL!$C$25, 0.0003, 0)</f>
        <v>42.794400000000003</v>
      </c>
      <c r="C543" s="4">
        <f>42.4816 * CHOOSE(CONTROL!$C$6, $C$13, 100%, $E$13) + CHOOSE(CONTROL!$C$25, 0.0003, 0)</f>
        <v>42.481900000000003</v>
      </c>
      <c r="D543" s="4">
        <f>48.1464 * CHOOSE(CONTROL!$C$6, $C$13, 100%, $E$13) + CHOOSE(CONTROL!$C$25, 0, 0)</f>
        <v>48.1464</v>
      </c>
      <c r="E543" s="4">
        <f>245.551579197273 * CHOOSE(CONTROL!$C$6, $C$13, 100%, $E$13) + CHOOSE(CONTROL!$C$25, 0, 0)</f>
        <v>245.55157919727301</v>
      </c>
    </row>
    <row r="544" spans="1:5" ht="15">
      <c r="A544" s="13">
        <v>58440</v>
      </c>
      <c r="B544" s="4">
        <f>42.1532 * CHOOSE(CONTROL!$C$6, $C$13, 100%, $E$13) + CHOOSE(CONTROL!$C$25, 0.0003, 0)</f>
        <v>42.153500000000001</v>
      </c>
      <c r="C544" s="4">
        <f>41.8407 * CHOOSE(CONTROL!$C$6, $C$13, 100%, $E$13) + CHOOSE(CONTROL!$C$25, 0.0003, 0)</f>
        <v>41.841000000000001</v>
      </c>
      <c r="D544" s="4">
        <f>46.4926 * CHOOSE(CONTROL!$C$6, $C$13, 100%, $E$13) + CHOOSE(CONTROL!$C$25, 0, 0)</f>
        <v>46.492600000000003</v>
      </c>
      <c r="E544" s="4">
        <f>241.705915531288 * CHOOSE(CONTROL!$C$6, $C$13, 100%, $E$13) + CHOOSE(CONTROL!$C$25, 0, 0)</f>
        <v>241.70591553128801</v>
      </c>
    </row>
    <row r="545" spans="1:5" ht="15">
      <c r="A545" s="13">
        <v>58471</v>
      </c>
      <c r="B545" s="4">
        <f>41.112 * CHOOSE(CONTROL!$C$6, $C$13, 100%, $E$13) + CHOOSE(CONTROL!$C$25, 0.0003, 0)</f>
        <v>41.112300000000005</v>
      </c>
      <c r="C545" s="4">
        <f>40.7995 * CHOOSE(CONTROL!$C$6, $C$13, 100%, $E$13) + CHOOSE(CONTROL!$C$25, 0.0003, 0)</f>
        <v>40.799800000000005</v>
      </c>
      <c r="D545" s="4">
        <f>44.9725 * CHOOSE(CONTROL!$C$6, $C$13, 100%, $E$13) + CHOOSE(CONTROL!$C$25, 0, 0)</f>
        <v>44.972499999999997</v>
      </c>
      <c r="E545" s="4">
        <f>234.77471094182 * CHOOSE(CONTROL!$C$6, $C$13, 100%, $E$13) + CHOOSE(CONTROL!$C$25, 0, 0)</f>
        <v>234.77471094181999</v>
      </c>
    </row>
    <row r="546" spans="1:5" ht="15">
      <c r="A546" s="13">
        <v>58499</v>
      </c>
      <c r="B546" s="4">
        <f>42.0436 * CHOOSE(CONTROL!$C$6, $C$13, 100%, $E$13) + CHOOSE(CONTROL!$C$25, 0.0003, 0)</f>
        <v>42.043900000000001</v>
      </c>
      <c r="C546" s="4">
        <f>41.7311 * CHOOSE(CONTROL!$C$6, $C$13, 100%, $E$13) + CHOOSE(CONTROL!$C$25, 0.0003, 0)</f>
        <v>41.731400000000001</v>
      </c>
      <c r="D546" s="4">
        <f>46.5032 * CHOOSE(CONTROL!$C$6, $C$13, 100%, $E$13) + CHOOSE(CONTROL!$C$25, 0, 0)</f>
        <v>46.5032</v>
      </c>
      <c r="E546" s="4">
        <f>240.349187805454 * CHOOSE(CONTROL!$C$6, $C$13, 100%, $E$13) + CHOOSE(CONTROL!$C$25, 0, 0)</f>
        <v>240.34918780545399</v>
      </c>
    </row>
    <row r="547" spans="1:5" ht="15">
      <c r="A547" s="13">
        <v>58531</v>
      </c>
      <c r="B547" s="4">
        <f>44.4902 * CHOOSE(CONTROL!$C$6, $C$13, 100%, $E$13) + CHOOSE(CONTROL!$C$25, 0.0003, 0)</f>
        <v>44.490500000000004</v>
      </c>
      <c r="C547" s="4">
        <f>44.1777 * CHOOSE(CONTROL!$C$6, $C$13, 100%, $E$13) + CHOOSE(CONTROL!$C$25, 0.0003, 0)</f>
        <v>44.178000000000004</v>
      </c>
      <c r="D547" s="4">
        <f>48.8994 * CHOOSE(CONTROL!$C$6, $C$13, 100%, $E$13) + CHOOSE(CONTROL!$C$25, 0, 0)</f>
        <v>48.8994</v>
      </c>
      <c r="E547" s="4">
        <f>254.988060295047 * CHOOSE(CONTROL!$C$6, $C$13, 100%, $E$13) + CHOOSE(CONTROL!$C$25, 0, 0)</f>
        <v>254.98806029504701</v>
      </c>
    </row>
    <row r="548" spans="1:5" ht="15">
      <c r="A548" s="13">
        <v>58561</v>
      </c>
      <c r="B548" s="4">
        <f>46.2285 * CHOOSE(CONTROL!$C$6, $C$13, 100%, $E$13) + CHOOSE(CONTROL!$C$25, 0.0003, 0)</f>
        <v>46.2288</v>
      </c>
      <c r="C548" s="4">
        <f>45.916 * CHOOSE(CONTROL!$C$6, $C$13, 100%, $E$13) + CHOOSE(CONTROL!$C$25, 0.0003, 0)</f>
        <v>45.9163</v>
      </c>
      <c r="D548" s="4">
        <f>50.2796 * CHOOSE(CONTROL!$C$6, $C$13, 100%, $E$13) + CHOOSE(CONTROL!$C$25, 0, 0)</f>
        <v>50.279600000000002</v>
      </c>
      <c r="E548" s="4">
        <f>265.38917428753 * CHOOSE(CONTROL!$C$6, $C$13, 100%, $E$13) + CHOOSE(CONTROL!$C$25, 0, 0)</f>
        <v>265.38917428753001</v>
      </c>
    </row>
    <row r="549" spans="1:5" ht="15">
      <c r="A549" s="13">
        <v>58592</v>
      </c>
      <c r="B549" s="4">
        <f>47.2905 * CHOOSE(CONTROL!$C$6, $C$13, 100%, $E$13) + CHOOSE(CONTROL!$C$25, 0.0238, 0)</f>
        <v>47.314300000000003</v>
      </c>
      <c r="C549" s="4">
        <f>46.978 * CHOOSE(CONTROL!$C$6, $C$13, 100%, $E$13) + CHOOSE(CONTROL!$C$25, 0.0238, 0)</f>
        <v>47.001800000000003</v>
      </c>
      <c r="D549" s="4">
        <f>49.7342 * CHOOSE(CONTROL!$C$6, $C$13, 100%, $E$13) + CHOOSE(CONTROL!$C$25, 0, 0)</f>
        <v>49.734200000000001</v>
      </c>
      <c r="E549" s="4">
        <f>271.744005657026 * CHOOSE(CONTROL!$C$6, $C$13, 100%, $E$13) + CHOOSE(CONTROL!$C$25, 0, 0)</f>
        <v>271.74400565702598</v>
      </c>
    </row>
    <row r="550" spans="1:5" ht="15">
      <c r="A550" s="13">
        <v>58622</v>
      </c>
      <c r="B550" s="4">
        <f>47.4342 * CHOOSE(CONTROL!$C$6, $C$13, 100%, $E$13) + CHOOSE(CONTROL!$C$25, 0.0238, 0)</f>
        <v>47.457999999999998</v>
      </c>
      <c r="C550" s="4">
        <f>47.1217 * CHOOSE(CONTROL!$C$6, $C$13, 100%, $E$13) + CHOOSE(CONTROL!$C$25, 0.0238, 0)</f>
        <v>47.145499999999998</v>
      </c>
      <c r="D550" s="4">
        <f>50.1784 * CHOOSE(CONTROL!$C$6, $C$13, 100%, $E$13) + CHOOSE(CONTROL!$C$25, 0, 0)</f>
        <v>50.178400000000003</v>
      </c>
      <c r="E550" s="4">
        <f>272.603840714411 * CHOOSE(CONTROL!$C$6, $C$13, 100%, $E$13) + CHOOSE(CONTROL!$C$25, 0, 0)</f>
        <v>272.60384071441098</v>
      </c>
    </row>
    <row r="551" spans="1:5" ht="15">
      <c r="A551" s="13">
        <v>58653</v>
      </c>
      <c r="B551" s="4">
        <f>47.4197 * CHOOSE(CONTROL!$C$6, $C$13, 100%, $E$13) + CHOOSE(CONTROL!$C$25, 0.0238, 0)</f>
        <v>47.4435</v>
      </c>
      <c r="C551" s="4">
        <f>47.1072 * CHOOSE(CONTROL!$C$6, $C$13, 100%, $E$13) + CHOOSE(CONTROL!$C$25, 0.0238, 0)</f>
        <v>47.131</v>
      </c>
      <c r="D551" s="4">
        <f>50.9799 * CHOOSE(CONTROL!$C$6, $C$13, 100%, $E$13) + CHOOSE(CONTROL!$C$25, 0, 0)</f>
        <v>50.979900000000001</v>
      </c>
      <c r="E551" s="4">
        <f>272.517134658204 * CHOOSE(CONTROL!$C$6, $C$13, 100%, $E$13) + CHOOSE(CONTROL!$C$25, 0, 0)</f>
        <v>272.51713465820399</v>
      </c>
    </row>
    <row r="552" spans="1:5" ht="15">
      <c r="A552" s="13">
        <v>58684</v>
      </c>
      <c r="B552" s="4">
        <f>48.5102 * CHOOSE(CONTROL!$C$6, $C$13, 100%, $E$13) + CHOOSE(CONTROL!$C$25, 0.0238, 0)</f>
        <v>48.533999999999999</v>
      </c>
      <c r="C552" s="4">
        <f>48.1977 * CHOOSE(CONTROL!$C$6, $C$13, 100%, $E$13) + CHOOSE(CONTROL!$C$25, 0.0238, 0)</f>
        <v>48.221499999999999</v>
      </c>
      <c r="D552" s="4">
        <f>50.4506 * CHOOSE(CONTROL!$C$6, $C$13, 100%, $E$13) + CHOOSE(CONTROL!$C$25, 0, 0)</f>
        <v>50.450600000000001</v>
      </c>
      <c r="E552" s="4">
        <f>279.041765387771 * CHOOSE(CONTROL!$C$6, $C$13, 100%, $E$13) + CHOOSE(CONTROL!$C$25, 0, 0)</f>
        <v>279.04176538777102</v>
      </c>
    </row>
    <row r="553" spans="1:5" ht="15">
      <c r="A553" s="13">
        <v>58714</v>
      </c>
      <c r="B553" s="4">
        <f>46.6517 * CHOOSE(CONTROL!$C$6, $C$13, 100%, $E$13) + CHOOSE(CONTROL!$C$25, 0.0238, 0)</f>
        <v>46.6755</v>
      </c>
      <c r="C553" s="4">
        <f>46.3392 * CHOOSE(CONTROL!$C$6, $C$13, 100%, $E$13) + CHOOSE(CONTROL!$C$25, 0.0238, 0)</f>
        <v>46.363</v>
      </c>
      <c r="D553" s="4">
        <f>50.2005 * CHOOSE(CONTROL!$C$6, $C$13, 100%, $E$13) + CHOOSE(CONTROL!$C$25, 0, 0)</f>
        <v>50.200499999999998</v>
      </c>
      <c r="E553" s="4">
        <f>267.921713679239 * CHOOSE(CONTROL!$C$6, $C$13, 100%, $E$13) + CHOOSE(CONTROL!$C$25, 0, 0)</f>
        <v>267.92171367923902</v>
      </c>
    </row>
    <row r="554" spans="1:5" ht="15">
      <c r="A554" s="13">
        <v>58745</v>
      </c>
      <c r="B554" s="4">
        <f>45.164 * CHOOSE(CONTROL!$C$6, $C$13, 100%, $E$13) + CHOOSE(CONTROL!$C$25, 0.0003, 0)</f>
        <v>45.164300000000004</v>
      </c>
      <c r="C554" s="4">
        <f>44.8515 * CHOOSE(CONTROL!$C$6, $C$13, 100%, $E$13) + CHOOSE(CONTROL!$C$25, 0.0003, 0)</f>
        <v>44.851800000000004</v>
      </c>
      <c r="D554" s="4">
        <f>49.5309 * CHOOSE(CONTROL!$C$6, $C$13, 100%, $E$13) + CHOOSE(CONTROL!$C$25, 0, 0)</f>
        <v>49.530900000000003</v>
      </c>
      <c r="E554" s="4">
        <f>259.019891908667 * CHOOSE(CONTROL!$C$6, $C$13, 100%, $E$13) + CHOOSE(CONTROL!$C$25, 0, 0)</f>
        <v>259.01989190866698</v>
      </c>
    </row>
    <row r="555" spans="1:5" ht="15">
      <c r="A555" s="13">
        <v>58775</v>
      </c>
      <c r="B555" s="4">
        <f>44.2058 * CHOOSE(CONTROL!$C$6, $C$13, 100%, $E$13) + CHOOSE(CONTROL!$C$25, 0.0003, 0)</f>
        <v>44.206100000000006</v>
      </c>
      <c r="C555" s="4">
        <f>43.8933 * CHOOSE(CONTROL!$C$6, $C$13, 100%, $E$13) + CHOOSE(CONTROL!$C$25, 0.0003, 0)</f>
        <v>43.893600000000006</v>
      </c>
      <c r="D555" s="4">
        <f>49.3007 * CHOOSE(CONTROL!$C$6, $C$13, 100%, $E$13) + CHOOSE(CONTROL!$C$25, 0, 0)</f>
        <v>49.300699999999999</v>
      </c>
      <c r="E555" s="4">
        <f>253.286453941988 * CHOOSE(CONTROL!$C$6, $C$13, 100%, $E$13) + CHOOSE(CONTROL!$C$25, 0, 0)</f>
        <v>253.28645394198799</v>
      </c>
    </row>
    <row r="556" spans="1:5" ht="15">
      <c r="A556" s="13">
        <v>58806</v>
      </c>
      <c r="B556" s="4">
        <f>43.5428 * CHOOSE(CONTROL!$C$6, $C$13, 100%, $E$13) + CHOOSE(CONTROL!$C$25, 0.0003, 0)</f>
        <v>43.543100000000003</v>
      </c>
      <c r="C556" s="4">
        <f>43.2303 * CHOOSE(CONTROL!$C$6, $C$13, 100%, $E$13) + CHOOSE(CONTROL!$C$25, 0.0003, 0)</f>
        <v>43.230600000000003</v>
      </c>
      <c r="D556" s="4">
        <f>47.6058 * CHOOSE(CONTROL!$C$6, $C$13, 100%, $E$13) + CHOOSE(CONTROL!$C$25, 0, 0)</f>
        <v>47.605800000000002</v>
      </c>
      <c r="E556" s="4">
        <f>249.319651870523 * CHOOSE(CONTROL!$C$6, $C$13, 100%, $E$13) + CHOOSE(CONTROL!$C$25, 0, 0)</f>
        <v>249.31965187052299</v>
      </c>
    </row>
    <row r="557" spans="1:5" ht="15">
      <c r="A557" s="13">
        <v>58837</v>
      </c>
      <c r="B557" s="4">
        <f>42.4657 * CHOOSE(CONTROL!$C$6, $C$13, 100%, $E$13) + CHOOSE(CONTROL!$C$25, 0.0003, 0)</f>
        <v>42.466000000000001</v>
      </c>
      <c r="C557" s="4">
        <f>42.1532 * CHOOSE(CONTROL!$C$6, $C$13, 100%, $E$13) + CHOOSE(CONTROL!$C$25, 0.0003, 0)</f>
        <v>42.153500000000001</v>
      </c>
      <c r="D557" s="4">
        <f>46.0481 * CHOOSE(CONTROL!$C$6, $C$13, 100%, $E$13) + CHOOSE(CONTROL!$C$25, 0, 0)</f>
        <v>46.048099999999998</v>
      </c>
      <c r="E557" s="4">
        <f>242.170114336487 * CHOOSE(CONTROL!$C$6, $C$13, 100%, $E$13) + CHOOSE(CONTROL!$C$25, 0, 0)</f>
        <v>242.17011433648699</v>
      </c>
    </row>
    <row r="558" spans="1:5" ht="15">
      <c r="A558" s="13">
        <v>58865</v>
      </c>
      <c r="B558" s="4">
        <f>43.4295 * CHOOSE(CONTROL!$C$6, $C$13, 100%, $E$13) + CHOOSE(CONTROL!$C$25, 0.0003, 0)</f>
        <v>43.4298</v>
      </c>
      <c r="C558" s="4">
        <f>43.117 * CHOOSE(CONTROL!$C$6, $C$13, 100%, $E$13) + CHOOSE(CONTROL!$C$25, 0.0003, 0)</f>
        <v>43.1173</v>
      </c>
      <c r="D558" s="4">
        <f>47.6167 * CHOOSE(CONTROL!$C$6, $C$13, 100%, $E$13) + CHOOSE(CONTROL!$C$25, 0, 0)</f>
        <v>47.616700000000002</v>
      </c>
      <c r="E558" s="4">
        <f>247.920187221325 * CHOOSE(CONTROL!$C$6, $C$13, 100%, $E$13) + CHOOSE(CONTROL!$C$25, 0, 0)</f>
        <v>247.92018722132499</v>
      </c>
    </row>
    <row r="559" spans="1:5" ht="15">
      <c r="A559" s="13">
        <v>58893</v>
      </c>
      <c r="B559" s="4">
        <f>45.9604 * CHOOSE(CONTROL!$C$6, $C$13, 100%, $E$13) + CHOOSE(CONTROL!$C$25, 0.0003, 0)</f>
        <v>45.960700000000003</v>
      </c>
      <c r="C559" s="4">
        <f>45.6479 * CHOOSE(CONTROL!$C$6, $C$13, 100%, $E$13) + CHOOSE(CONTROL!$C$25, 0.0003, 0)</f>
        <v>45.648200000000003</v>
      </c>
      <c r="D559" s="4">
        <f>50.0723 * CHOOSE(CONTROL!$C$6, $C$13, 100%, $E$13) + CHOOSE(CONTROL!$C$25, 0, 0)</f>
        <v>50.072299999999998</v>
      </c>
      <c r="E559" s="4">
        <f>263.020184194341 * CHOOSE(CONTROL!$C$6, $C$13, 100%, $E$13) + CHOOSE(CONTROL!$C$25, 0, 0)</f>
        <v>263.02018419434103</v>
      </c>
    </row>
    <row r="560" spans="1:5" ht="15">
      <c r="A560" s="13">
        <v>58926</v>
      </c>
      <c r="B560" s="4">
        <f>47.7587 * CHOOSE(CONTROL!$C$6, $C$13, 100%, $E$13) + CHOOSE(CONTROL!$C$25, 0.0003, 0)</f>
        <v>47.759</v>
      </c>
      <c r="C560" s="4">
        <f>47.4462 * CHOOSE(CONTROL!$C$6, $C$13, 100%, $E$13) + CHOOSE(CONTROL!$C$25, 0.0003, 0)</f>
        <v>47.4465</v>
      </c>
      <c r="D560" s="4">
        <f>51.4868 * CHOOSE(CONTROL!$C$6, $C$13, 100%, $E$13) + CHOOSE(CONTROL!$C$25, 0, 0)</f>
        <v>51.486800000000002</v>
      </c>
      <c r="E560" s="4">
        <f>273.748933277588 * CHOOSE(CONTROL!$C$6, $C$13, 100%, $E$13) + CHOOSE(CONTROL!$C$25, 0, 0)</f>
        <v>273.74893327758798</v>
      </c>
    </row>
    <row r="561" spans="1:5" ht="15">
      <c r="A561" s="13">
        <v>58957</v>
      </c>
      <c r="B561" s="4">
        <f>48.8574 * CHOOSE(CONTROL!$C$6, $C$13, 100%, $E$13) + CHOOSE(CONTROL!$C$25, 0.0238, 0)</f>
        <v>48.8812</v>
      </c>
      <c r="C561" s="4">
        <f>48.5449 * CHOOSE(CONTROL!$C$6, $C$13, 100%, $E$13) + CHOOSE(CONTROL!$C$25, 0.0238, 0)</f>
        <v>48.5687</v>
      </c>
      <c r="D561" s="4">
        <f>50.9278 * CHOOSE(CONTROL!$C$6, $C$13, 100%, $E$13) + CHOOSE(CONTROL!$C$25, 0, 0)</f>
        <v>50.927799999999998</v>
      </c>
      <c r="E561" s="4">
        <f>280.303941835222 * CHOOSE(CONTROL!$C$6, $C$13, 100%, $E$13) + CHOOSE(CONTROL!$C$25, 0, 0)</f>
        <v>280.30394183522202</v>
      </c>
    </row>
    <row r="562" spans="1:5" ht="15">
      <c r="A562" s="13">
        <v>58987</v>
      </c>
      <c r="B562" s="4">
        <f>49.006 * CHOOSE(CONTROL!$C$6, $C$13, 100%, $E$13) + CHOOSE(CONTROL!$C$25, 0.0238, 0)</f>
        <v>49.029800000000002</v>
      </c>
      <c r="C562" s="4">
        <f>48.6935 * CHOOSE(CONTROL!$C$6, $C$13, 100%, $E$13) + CHOOSE(CONTROL!$C$25, 0.0238, 0)</f>
        <v>48.717300000000002</v>
      </c>
      <c r="D562" s="4">
        <f>51.3831 * CHOOSE(CONTROL!$C$6, $C$13, 100%, $E$13) + CHOOSE(CONTROL!$C$25, 0, 0)</f>
        <v>51.383099999999999</v>
      </c>
      <c r="E562" s="4">
        <f>281.190861696915 * CHOOSE(CONTROL!$C$6, $C$13, 100%, $E$13) + CHOOSE(CONTROL!$C$25, 0, 0)</f>
        <v>281.19086169691502</v>
      </c>
    </row>
    <row r="563" spans="1:5" ht="15">
      <c r="A563" s="13">
        <v>59018</v>
      </c>
      <c r="B563" s="4">
        <f>48.991 * CHOOSE(CONTROL!$C$6, $C$13, 100%, $E$13) + CHOOSE(CONTROL!$C$25, 0.0238, 0)</f>
        <v>49.014800000000001</v>
      </c>
      <c r="C563" s="4">
        <f>48.6785 * CHOOSE(CONTROL!$C$6, $C$13, 100%, $E$13) + CHOOSE(CONTROL!$C$25, 0.0238, 0)</f>
        <v>48.702300000000001</v>
      </c>
      <c r="D563" s="4">
        <f>52.2044 * CHOOSE(CONTROL!$C$6, $C$13, 100%, $E$13) + CHOOSE(CONTROL!$C$25, 0, 0)</f>
        <v>52.2044</v>
      </c>
      <c r="E563" s="4">
        <f>281.101424399937 * CHOOSE(CONTROL!$C$6, $C$13, 100%, $E$13) + CHOOSE(CONTROL!$C$25, 0, 0)</f>
        <v>281.101424399937</v>
      </c>
    </row>
    <row r="564" spans="1:5" ht="15">
      <c r="A564" s="13">
        <v>59049</v>
      </c>
      <c r="B564" s="4">
        <f>50.1191 * CHOOSE(CONTROL!$C$6, $C$13, 100%, $E$13) + CHOOSE(CONTROL!$C$25, 0.0238, 0)</f>
        <v>50.142900000000004</v>
      </c>
      <c r="C564" s="4">
        <f>49.8066 * CHOOSE(CONTROL!$C$6, $C$13, 100%, $E$13) + CHOOSE(CONTROL!$C$25, 0.0238, 0)</f>
        <v>49.830400000000004</v>
      </c>
      <c r="D564" s="4">
        <f>51.662 * CHOOSE(CONTROL!$C$6, $C$13, 100%, $E$13) + CHOOSE(CONTROL!$C$25, 0, 0)</f>
        <v>51.661999999999999</v>
      </c>
      <c r="E564" s="4">
        <f>287.831580997486 * CHOOSE(CONTROL!$C$6, $C$13, 100%, $E$13) + CHOOSE(CONTROL!$C$25, 0, 0)</f>
        <v>287.83158099748601</v>
      </c>
    </row>
    <row r="565" spans="1:5" ht="15">
      <c r="A565" s="13">
        <v>59079</v>
      </c>
      <c r="B565" s="4">
        <f>48.1965 * CHOOSE(CONTROL!$C$6, $C$13, 100%, $E$13) + CHOOSE(CONTROL!$C$25, 0.0238, 0)</f>
        <v>48.220300000000002</v>
      </c>
      <c r="C565" s="4">
        <f>47.884 * CHOOSE(CONTROL!$C$6, $C$13, 100%, $E$13) + CHOOSE(CONTROL!$C$25, 0.0238, 0)</f>
        <v>47.907800000000002</v>
      </c>
      <c r="D565" s="4">
        <f>51.4057 * CHOOSE(CONTROL!$C$6, $C$13, 100%, $E$13) + CHOOSE(CONTROL!$C$25, 0, 0)</f>
        <v>51.405700000000003</v>
      </c>
      <c r="E565" s="4">
        <f>276.361247660136 * CHOOSE(CONTROL!$C$6, $C$13, 100%, $E$13) + CHOOSE(CONTROL!$C$25, 0, 0)</f>
        <v>276.36124766013597</v>
      </c>
    </row>
    <row r="566" spans="1:5" ht="15">
      <c r="A566" s="13">
        <v>59110</v>
      </c>
      <c r="B566" s="4">
        <f>46.6575 * CHOOSE(CONTROL!$C$6, $C$13, 100%, $E$13) + CHOOSE(CONTROL!$C$25, 0.0003, 0)</f>
        <v>46.657800000000002</v>
      </c>
      <c r="C566" s="4">
        <f>46.345 * CHOOSE(CONTROL!$C$6, $C$13, 100%, $E$13) + CHOOSE(CONTROL!$C$25, 0.0003, 0)</f>
        <v>46.345300000000002</v>
      </c>
      <c r="D566" s="4">
        <f>50.7195 * CHOOSE(CONTROL!$C$6, $C$13, 100%, $E$13) + CHOOSE(CONTROL!$C$25, 0, 0)</f>
        <v>50.719499999999996</v>
      </c>
      <c r="E566" s="4">
        <f>267.17901850379 * CHOOSE(CONTROL!$C$6, $C$13, 100%, $E$13) + CHOOSE(CONTROL!$C$25, 0, 0)</f>
        <v>267.17901850379002</v>
      </c>
    </row>
    <row r="567" spans="1:5" ht="15">
      <c r="A567" s="13">
        <v>59140</v>
      </c>
      <c r="B567" s="4">
        <f>45.6662 * CHOOSE(CONTROL!$C$6, $C$13, 100%, $E$13) + CHOOSE(CONTROL!$C$25, 0.0003, 0)</f>
        <v>45.666500000000006</v>
      </c>
      <c r="C567" s="4">
        <f>45.3537 * CHOOSE(CONTROL!$C$6, $C$13, 100%, $E$13) + CHOOSE(CONTROL!$C$25, 0.0003, 0)</f>
        <v>45.354000000000006</v>
      </c>
      <c r="D567" s="4">
        <f>50.4836 * CHOOSE(CONTROL!$C$6, $C$13, 100%, $E$13) + CHOOSE(CONTROL!$C$25, 0, 0)</f>
        <v>50.483600000000003</v>
      </c>
      <c r="E567" s="4">
        <f>261.26497724116 * CHOOSE(CONTROL!$C$6, $C$13, 100%, $E$13) + CHOOSE(CONTROL!$C$25, 0, 0)</f>
        <v>261.26497724116001</v>
      </c>
    </row>
    <row r="568" spans="1:5" ht="15">
      <c r="A568" s="13">
        <v>59171</v>
      </c>
      <c r="B568" s="4">
        <f>44.9804 * CHOOSE(CONTROL!$C$6, $C$13, 100%, $E$13) + CHOOSE(CONTROL!$C$25, 0.0003, 0)</f>
        <v>44.980700000000006</v>
      </c>
      <c r="C568" s="4">
        <f>44.6679 * CHOOSE(CONTROL!$C$6, $C$13, 100%, $E$13) + CHOOSE(CONTROL!$C$25, 0.0003, 0)</f>
        <v>44.668200000000006</v>
      </c>
      <c r="D568" s="4">
        <f>48.7467 * CHOOSE(CONTROL!$C$6, $C$13, 100%, $E$13) + CHOOSE(CONTROL!$C$25, 0, 0)</f>
        <v>48.746699999999997</v>
      </c>
      <c r="E568" s="4">
        <f>257.173220904445 * CHOOSE(CONTROL!$C$6, $C$13, 100%, $E$13) + CHOOSE(CONTROL!$C$25, 0, 0)</f>
        <v>257.17322090444497</v>
      </c>
    </row>
    <row r="569" spans="1:5" ht="15">
      <c r="A569" s="13">
        <v>59202</v>
      </c>
      <c r="B569" s="4">
        <f>43.866 * CHOOSE(CONTROL!$C$6, $C$13, 100%, $E$13) + CHOOSE(CONTROL!$C$25, 0.0003, 0)</f>
        <v>43.866300000000003</v>
      </c>
      <c r="C569" s="4">
        <f>43.5535 * CHOOSE(CONTROL!$C$6, $C$13, 100%, $E$13) + CHOOSE(CONTROL!$C$25, 0.0003, 0)</f>
        <v>43.553800000000003</v>
      </c>
      <c r="D569" s="4">
        <f>47.1503 * CHOOSE(CONTROL!$C$6, $C$13, 100%, $E$13) + CHOOSE(CONTROL!$C$25, 0, 0)</f>
        <v>47.150300000000001</v>
      </c>
      <c r="E569" s="4">
        <f>249.798472938087 * CHOOSE(CONTROL!$C$6, $C$13, 100%, $E$13) + CHOOSE(CONTROL!$C$25, 0, 0)</f>
        <v>249.798472938087</v>
      </c>
    </row>
    <row r="570" spans="1:5" ht="15">
      <c r="A570" s="13">
        <v>59230</v>
      </c>
      <c r="B570" s="4">
        <f>44.8631 * CHOOSE(CONTROL!$C$6, $C$13, 100%, $E$13) + CHOOSE(CONTROL!$C$25, 0.0003, 0)</f>
        <v>44.863400000000006</v>
      </c>
      <c r="C570" s="4">
        <f>44.5506 * CHOOSE(CONTROL!$C$6, $C$13, 100%, $E$13) + CHOOSE(CONTROL!$C$25, 0.0003, 0)</f>
        <v>44.550900000000006</v>
      </c>
      <c r="D570" s="4">
        <f>48.7579 * CHOOSE(CONTROL!$C$6, $C$13, 100%, $E$13) + CHOOSE(CONTROL!$C$25, 0, 0)</f>
        <v>48.757899999999999</v>
      </c>
      <c r="E570" s="4">
        <f>255.729673118797 * CHOOSE(CONTROL!$C$6, $C$13, 100%, $E$13) + CHOOSE(CONTROL!$C$25, 0, 0)</f>
        <v>255.729673118797</v>
      </c>
    </row>
    <row r="571" spans="1:5" ht="15">
      <c r="A571" s="13">
        <v>59261</v>
      </c>
      <c r="B571" s="4">
        <f>47.4813 * CHOOSE(CONTROL!$C$6, $C$13, 100%, $E$13) + CHOOSE(CONTROL!$C$25, 0.0003, 0)</f>
        <v>47.4816</v>
      </c>
      <c r="C571" s="4">
        <f>47.1688 * CHOOSE(CONTROL!$C$6, $C$13, 100%, $E$13) + CHOOSE(CONTROL!$C$25, 0.0003, 0)</f>
        <v>47.1691</v>
      </c>
      <c r="D571" s="4">
        <f>51.2743 * CHOOSE(CONTROL!$C$6, $C$13, 100%, $E$13) + CHOOSE(CONTROL!$C$25, 0, 0)</f>
        <v>51.274299999999997</v>
      </c>
      <c r="E571" s="4">
        <f>271.305319996463 * CHOOSE(CONTROL!$C$6, $C$13, 100%, $E$13) + CHOOSE(CONTROL!$C$25, 0, 0)</f>
        <v>271.30531999646303</v>
      </c>
    </row>
    <row r="572" spans="1:5" ht="15">
      <c r="A572" s="13">
        <v>59291</v>
      </c>
      <c r="B572" s="4">
        <f>49.3416 * CHOOSE(CONTROL!$C$6, $C$13, 100%, $E$13) + CHOOSE(CONTROL!$C$25, 0.0003, 0)</f>
        <v>49.341900000000003</v>
      </c>
      <c r="C572" s="4">
        <f>49.0291 * CHOOSE(CONTROL!$C$6, $C$13, 100%, $E$13) + CHOOSE(CONTROL!$C$25, 0.0003, 0)</f>
        <v>49.029400000000003</v>
      </c>
      <c r="D572" s="4">
        <f>52.7239 * CHOOSE(CONTROL!$C$6, $C$13, 100%, $E$13) + CHOOSE(CONTROL!$C$25, 0, 0)</f>
        <v>52.7239</v>
      </c>
      <c r="E572" s="4">
        <f>282.372024675832 * CHOOSE(CONTROL!$C$6, $C$13, 100%, $E$13) + CHOOSE(CONTROL!$C$25, 0, 0)</f>
        <v>282.37202467583199</v>
      </c>
    </row>
    <row r="573" spans="1:5" ht="15">
      <c r="A573" s="13">
        <v>59322</v>
      </c>
      <c r="B573" s="4">
        <f>50.4783 * CHOOSE(CONTROL!$C$6, $C$13, 100%, $E$13) + CHOOSE(CONTROL!$C$25, 0.0238, 0)</f>
        <v>50.502099999999999</v>
      </c>
      <c r="C573" s="4">
        <f>50.1658 * CHOOSE(CONTROL!$C$6, $C$13, 100%, $E$13) + CHOOSE(CONTROL!$C$25, 0.0238, 0)</f>
        <v>50.189599999999999</v>
      </c>
      <c r="D573" s="4">
        <f>52.1511 * CHOOSE(CONTROL!$C$6, $C$13, 100%, $E$13) + CHOOSE(CONTROL!$C$25, 0, 0)</f>
        <v>52.1511</v>
      </c>
      <c r="E573" s="4">
        <f>289.133516003032 * CHOOSE(CONTROL!$C$6, $C$13, 100%, $E$13) + CHOOSE(CONTROL!$C$25, 0, 0)</f>
        <v>289.13351600303201</v>
      </c>
    </row>
    <row r="574" spans="1:5" ht="15">
      <c r="A574" s="13">
        <v>59352</v>
      </c>
      <c r="B574" s="4">
        <f>50.632 * CHOOSE(CONTROL!$C$6, $C$13, 100%, $E$13) + CHOOSE(CONTROL!$C$25, 0.0238, 0)</f>
        <v>50.655799999999999</v>
      </c>
      <c r="C574" s="4">
        <f>50.3195 * CHOOSE(CONTROL!$C$6, $C$13, 100%, $E$13) + CHOOSE(CONTROL!$C$25, 0.0238, 0)</f>
        <v>50.343299999999999</v>
      </c>
      <c r="D574" s="4">
        <f>52.6176 * CHOOSE(CONTROL!$C$6, $C$13, 100%, $E$13) + CHOOSE(CONTROL!$C$25, 0, 0)</f>
        <v>52.617600000000003</v>
      </c>
      <c r="E574" s="4">
        <f>290.048373840367 * CHOOSE(CONTROL!$C$6, $C$13, 100%, $E$13) + CHOOSE(CONTROL!$C$25, 0, 0)</f>
        <v>290.04837384036699</v>
      </c>
    </row>
    <row r="575" spans="1:5" ht="15">
      <c r="A575" s="13">
        <v>59383</v>
      </c>
      <c r="B575" s="4">
        <f>50.6165 * CHOOSE(CONTROL!$C$6, $C$13, 100%, $E$13) + CHOOSE(CONTROL!$C$25, 0.0238, 0)</f>
        <v>50.640300000000003</v>
      </c>
      <c r="C575" s="4">
        <f>50.304 * CHOOSE(CONTROL!$C$6, $C$13, 100%, $E$13) + CHOOSE(CONTROL!$C$25, 0.0238, 0)</f>
        <v>50.327800000000003</v>
      </c>
      <c r="D575" s="4">
        <f>53.4593 * CHOOSE(CONTROL!$C$6, $C$13, 100%, $E$13) + CHOOSE(CONTROL!$C$25, 0, 0)</f>
        <v>53.459299999999999</v>
      </c>
      <c r="E575" s="4">
        <f>289.956119268535 * CHOOSE(CONTROL!$C$6, $C$13, 100%, $E$13) + CHOOSE(CONTROL!$C$25, 0, 0)</f>
        <v>289.95611926853502</v>
      </c>
    </row>
    <row r="576" spans="1:5" ht="15">
      <c r="A576" s="13">
        <v>59414</v>
      </c>
      <c r="B576" s="4">
        <f>51.7835 * CHOOSE(CONTROL!$C$6, $C$13, 100%, $E$13) + CHOOSE(CONTROL!$C$25, 0.0238, 0)</f>
        <v>51.807299999999998</v>
      </c>
      <c r="C576" s="4">
        <f>51.471 * CHOOSE(CONTROL!$C$6, $C$13, 100%, $E$13) + CHOOSE(CONTROL!$C$25, 0.0238, 0)</f>
        <v>51.494799999999998</v>
      </c>
      <c r="D576" s="4">
        <f>52.9034 * CHOOSE(CONTROL!$C$6, $C$13, 100%, $E$13) + CHOOSE(CONTROL!$C$25, 0, 0)</f>
        <v>52.903399999999998</v>
      </c>
      <c r="E576" s="4">
        <f>296.898275798907 * CHOOSE(CONTROL!$C$6, $C$13, 100%, $E$13) + CHOOSE(CONTROL!$C$25, 0, 0)</f>
        <v>296.89827579890698</v>
      </c>
    </row>
    <row r="577" spans="1:5" ht="15">
      <c r="A577" s="13">
        <v>59444</v>
      </c>
      <c r="B577" s="4">
        <f>49.7946 * CHOOSE(CONTROL!$C$6, $C$13, 100%, $E$13) + CHOOSE(CONTROL!$C$25, 0.0238, 0)</f>
        <v>49.818400000000004</v>
      </c>
      <c r="C577" s="4">
        <f>49.4821 * CHOOSE(CONTROL!$C$6, $C$13, 100%, $E$13) + CHOOSE(CONTROL!$C$25, 0.0238, 0)</f>
        <v>49.505900000000004</v>
      </c>
      <c r="D577" s="4">
        <f>52.6408 * CHOOSE(CONTROL!$C$6, $C$13, 100%, $E$13) + CHOOSE(CONTROL!$C$25, 0, 0)</f>
        <v>52.640799999999999</v>
      </c>
      <c r="E577" s="4">
        <f>285.06662696143 * CHOOSE(CONTROL!$C$6, $C$13, 100%, $E$13) + CHOOSE(CONTROL!$C$25, 0, 0)</f>
        <v>285.06662696143002</v>
      </c>
    </row>
    <row r="578" spans="1:5" ht="15">
      <c r="A578" s="13">
        <v>59475</v>
      </c>
      <c r="B578" s="4">
        <f>48.2025 * CHOOSE(CONTROL!$C$6, $C$13, 100%, $E$13) + CHOOSE(CONTROL!$C$25, 0.0003, 0)</f>
        <v>48.202800000000003</v>
      </c>
      <c r="C578" s="4">
        <f>47.89 * CHOOSE(CONTROL!$C$6, $C$13, 100%, $E$13) + CHOOSE(CONTROL!$C$25, 0.0003, 0)</f>
        <v>47.890300000000003</v>
      </c>
      <c r="D578" s="4">
        <f>51.9376 * CHOOSE(CONTROL!$C$6, $C$13, 100%, $E$13) + CHOOSE(CONTROL!$C$25, 0, 0)</f>
        <v>51.937600000000003</v>
      </c>
      <c r="E578" s="4">
        <f>275.59515758666 * CHOOSE(CONTROL!$C$6, $C$13, 100%, $E$13) + CHOOSE(CONTROL!$C$25, 0, 0)</f>
        <v>275.59515758665998</v>
      </c>
    </row>
    <row r="579" spans="1:5" ht="15">
      <c r="A579" s="13">
        <v>59505</v>
      </c>
      <c r="B579" s="4">
        <f>47.177 * CHOOSE(CONTROL!$C$6, $C$13, 100%, $E$13) + CHOOSE(CONTROL!$C$25, 0.0003, 0)</f>
        <v>47.177300000000002</v>
      </c>
      <c r="C579" s="4">
        <f>46.8645 * CHOOSE(CONTROL!$C$6, $C$13, 100%, $E$13) + CHOOSE(CONTROL!$C$25, 0.0003, 0)</f>
        <v>46.864800000000002</v>
      </c>
      <c r="D579" s="4">
        <f>51.6958 * CHOOSE(CONTROL!$C$6, $C$13, 100%, $E$13) + CHOOSE(CONTROL!$C$25, 0, 0)</f>
        <v>51.695799999999998</v>
      </c>
      <c r="E579" s="4">
        <f>269.494824024257 * CHOOSE(CONTROL!$C$6, $C$13, 100%, $E$13) + CHOOSE(CONTROL!$C$25, 0, 0)</f>
        <v>269.49482402425701</v>
      </c>
    </row>
    <row r="580" spans="1:5" ht="15">
      <c r="A580" s="13">
        <v>59536</v>
      </c>
      <c r="B580" s="4">
        <f>46.4675 * CHOOSE(CONTROL!$C$6, $C$13, 100%, $E$13) + CHOOSE(CONTROL!$C$25, 0.0003, 0)</f>
        <v>46.467800000000004</v>
      </c>
      <c r="C580" s="4">
        <f>46.155 * CHOOSE(CONTROL!$C$6, $C$13, 100%, $E$13) + CHOOSE(CONTROL!$C$25, 0.0003, 0)</f>
        <v>46.155300000000004</v>
      </c>
      <c r="D580" s="4">
        <f>49.9158 * CHOOSE(CONTROL!$C$6, $C$13, 100%, $E$13) + CHOOSE(CONTROL!$C$25, 0, 0)</f>
        <v>49.915799999999997</v>
      </c>
      <c r="E580" s="4">
        <f>265.274177362935 * CHOOSE(CONTROL!$C$6, $C$13, 100%, $E$13) + CHOOSE(CONTROL!$C$25, 0, 0)</f>
        <v>265.27417736293501</v>
      </c>
    </row>
    <row r="581" spans="1:5" ht="15">
      <c r="A581" s="13">
        <v>59567</v>
      </c>
      <c r="B581" s="4">
        <f>45.3147 * CHOOSE(CONTROL!$C$6, $C$13, 100%, $E$13) + CHOOSE(CONTROL!$C$25, 0.0003, 0)</f>
        <v>45.315000000000005</v>
      </c>
      <c r="C581" s="4">
        <f>45.0022 * CHOOSE(CONTROL!$C$6, $C$13, 100%, $E$13) + CHOOSE(CONTROL!$C$25, 0.0003, 0)</f>
        <v>45.002500000000005</v>
      </c>
      <c r="D581" s="4">
        <f>48.2799 * CHOOSE(CONTROL!$C$6, $C$13, 100%, $E$13) + CHOOSE(CONTROL!$C$25, 0, 0)</f>
        <v>48.279899999999998</v>
      </c>
      <c r="E581" s="4">
        <f>257.667124835637 * CHOOSE(CONTROL!$C$6, $C$13, 100%, $E$13) + CHOOSE(CONTROL!$C$25, 0, 0)</f>
        <v>257.66712483563703</v>
      </c>
    </row>
    <row r="582" spans="1:5" ht="15">
      <c r="A582" s="13">
        <v>59595</v>
      </c>
      <c r="B582" s="4">
        <f>46.3462 * CHOOSE(CONTROL!$C$6, $C$13, 100%, $E$13) + CHOOSE(CONTROL!$C$25, 0.0003, 0)</f>
        <v>46.346500000000006</v>
      </c>
      <c r="C582" s="4">
        <f>46.0337 * CHOOSE(CONTROL!$C$6, $C$13, 100%, $E$13) + CHOOSE(CONTROL!$C$25, 0.0003, 0)</f>
        <v>46.034000000000006</v>
      </c>
      <c r="D582" s="4">
        <f>49.9273 * CHOOSE(CONTROL!$C$6, $C$13, 100%, $E$13) + CHOOSE(CONTROL!$C$25, 0, 0)</f>
        <v>49.927300000000002</v>
      </c>
      <c r="E582" s="4">
        <f>263.785157822039 * CHOOSE(CONTROL!$C$6, $C$13, 100%, $E$13) + CHOOSE(CONTROL!$C$25, 0, 0)</f>
        <v>263.78515782203903</v>
      </c>
    </row>
    <row r="583" spans="1:5" ht="15">
      <c r="A583" s="13">
        <v>59626</v>
      </c>
      <c r="B583" s="4">
        <f>49.0548 * CHOOSE(CONTROL!$C$6, $C$13, 100%, $E$13) + CHOOSE(CONTROL!$C$25, 0.0003, 0)</f>
        <v>49.055100000000003</v>
      </c>
      <c r="C583" s="4">
        <f>48.7423 * CHOOSE(CONTROL!$C$6, $C$13, 100%, $E$13) + CHOOSE(CONTROL!$C$25, 0.0003, 0)</f>
        <v>48.742600000000003</v>
      </c>
      <c r="D583" s="4">
        <f>52.5062 * CHOOSE(CONTROL!$C$6, $C$13, 100%, $E$13) + CHOOSE(CONTROL!$C$25, 0, 0)</f>
        <v>52.5062</v>
      </c>
      <c r="E583" s="4">
        <f>279.851437576352 * CHOOSE(CONTROL!$C$6, $C$13, 100%, $E$13) + CHOOSE(CONTROL!$C$25, 0, 0)</f>
        <v>279.851437576352</v>
      </c>
    </row>
    <row r="584" spans="1:5" ht="15">
      <c r="A584" s="13">
        <v>59656</v>
      </c>
      <c r="B584" s="4">
        <f>50.9792 * CHOOSE(CONTROL!$C$6, $C$13, 100%, $E$13) + CHOOSE(CONTROL!$C$25, 0.0003, 0)</f>
        <v>50.979500000000002</v>
      </c>
      <c r="C584" s="4">
        <f>50.6667 * CHOOSE(CONTROL!$C$6, $C$13, 100%, $E$13) + CHOOSE(CONTROL!$C$25, 0.0003, 0)</f>
        <v>50.667000000000002</v>
      </c>
      <c r="D584" s="4">
        <f>53.9917 * CHOOSE(CONTROL!$C$6, $C$13, 100%, $E$13) + CHOOSE(CONTROL!$C$25, 0, 0)</f>
        <v>53.991700000000002</v>
      </c>
      <c r="E584" s="4">
        <f>291.26674345312 * CHOOSE(CONTROL!$C$6, $C$13, 100%, $E$13) + CHOOSE(CONTROL!$C$25, 0, 0)</f>
        <v>291.26674345312</v>
      </c>
    </row>
    <row r="585" spans="1:5" ht="15">
      <c r="A585" s="13">
        <v>59687</v>
      </c>
      <c r="B585" s="4">
        <f>52.1551 * CHOOSE(CONTROL!$C$6, $C$13, 100%, $E$13) + CHOOSE(CONTROL!$C$25, 0.0238, 0)</f>
        <v>52.178899999999999</v>
      </c>
      <c r="C585" s="4">
        <f>51.8426 * CHOOSE(CONTROL!$C$6, $C$13, 100%, $E$13) + CHOOSE(CONTROL!$C$25, 0.0238, 0)</f>
        <v>51.866399999999999</v>
      </c>
      <c r="D585" s="4">
        <f>53.4047 * CHOOSE(CONTROL!$C$6, $C$13, 100%, $E$13) + CHOOSE(CONTROL!$C$25, 0, 0)</f>
        <v>53.404699999999998</v>
      </c>
      <c r="E585" s="4">
        <f>298.241221757127 * CHOOSE(CONTROL!$C$6, $C$13, 100%, $E$13) + CHOOSE(CONTROL!$C$25, 0, 0)</f>
        <v>298.24122175712699</v>
      </c>
    </row>
    <row r="586" spans="1:5" ht="15">
      <c r="A586" s="13">
        <v>59717</v>
      </c>
      <c r="B586" s="4">
        <f>52.3142 * CHOOSE(CONTROL!$C$6, $C$13, 100%, $E$13) + CHOOSE(CONTROL!$C$25, 0.0238, 0)</f>
        <v>52.338000000000001</v>
      </c>
      <c r="C586" s="4">
        <f>52.0017 * CHOOSE(CONTROL!$C$6, $C$13, 100%, $E$13) + CHOOSE(CONTROL!$C$25, 0.0238, 0)</f>
        <v>52.025500000000001</v>
      </c>
      <c r="D586" s="4">
        <f>53.8828 * CHOOSE(CONTROL!$C$6, $C$13, 100%, $E$13) + CHOOSE(CONTROL!$C$25, 0, 0)</f>
        <v>53.882800000000003</v>
      </c>
      <c r="E586" s="4">
        <f>299.184897616339 * CHOOSE(CONTROL!$C$6, $C$13, 100%, $E$13) + CHOOSE(CONTROL!$C$25, 0, 0)</f>
        <v>299.18489761633901</v>
      </c>
    </row>
    <row r="587" spans="1:5" ht="15">
      <c r="A587" s="13">
        <v>59748</v>
      </c>
      <c r="B587" s="4">
        <f>52.2981 * CHOOSE(CONTROL!$C$6, $C$13, 100%, $E$13) + CHOOSE(CONTROL!$C$25, 0.0238, 0)</f>
        <v>52.321899999999999</v>
      </c>
      <c r="C587" s="4">
        <f>51.9856 * CHOOSE(CONTROL!$C$6, $C$13, 100%, $E$13) + CHOOSE(CONTROL!$C$25, 0.0238, 0)</f>
        <v>52.009399999999999</v>
      </c>
      <c r="D587" s="4">
        <f>54.7454 * CHOOSE(CONTROL!$C$6, $C$13, 100%, $E$13) + CHOOSE(CONTROL!$C$25, 0, 0)</f>
        <v>54.745399999999997</v>
      </c>
      <c r="E587" s="4">
        <f>299.089737025494 * CHOOSE(CONTROL!$C$6, $C$13, 100%, $E$13) + CHOOSE(CONTROL!$C$25, 0, 0)</f>
        <v>299.089737025494</v>
      </c>
    </row>
    <row r="588" spans="1:5" ht="15">
      <c r="A588" s="13">
        <v>59779</v>
      </c>
      <c r="B588" s="4">
        <f>53.5054 * CHOOSE(CONTROL!$C$6, $C$13, 100%, $E$13) + CHOOSE(CONTROL!$C$25, 0.0238, 0)</f>
        <v>53.529200000000003</v>
      </c>
      <c r="C588" s="4">
        <f>53.1929 * CHOOSE(CONTROL!$C$6, $C$13, 100%, $E$13) + CHOOSE(CONTROL!$C$25, 0.0238, 0)</f>
        <v>53.216700000000003</v>
      </c>
      <c r="D588" s="4">
        <f>54.1757 * CHOOSE(CONTROL!$C$6, $C$13, 100%, $E$13) + CHOOSE(CONTROL!$C$25, 0, 0)</f>
        <v>54.175699999999999</v>
      </c>
      <c r="E588" s="4">
        <f>306.250571486572 * CHOOSE(CONTROL!$C$6, $C$13, 100%, $E$13) + CHOOSE(CONTROL!$C$25, 0, 0)</f>
        <v>306.25057148657203</v>
      </c>
    </row>
    <row r="589" spans="1:5" ht="15">
      <c r="A589" s="13">
        <v>59809</v>
      </c>
      <c r="B589" s="4">
        <f>51.4478 * CHOOSE(CONTROL!$C$6, $C$13, 100%, $E$13) + CHOOSE(CONTROL!$C$25, 0.0238, 0)</f>
        <v>51.471600000000002</v>
      </c>
      <c r="C589" s="4">
        <f>51.1353 * CHOOSE(CONTROL!$C$6, $C$13, 100%, $E$13) + CHOOSE(CONTROL!$C$25, 0.0238, 0)</f>
        <v>51.159100000000002</v>
      </c>
      <c r="D589" s="4">
        <f>53.9065 * CHOOSE(CONTROL!$C$6, $C$13, 100%, $E$13) + CHOOSE(CONTROL!$C$25, 0, 0)</f>
        <v>53.906500000000001</v>
      </c>
      <c r="E589" s="4">
        <f>294.046225710715 * CHOOSE(CONTROL!$C$6, $C$13, 100%, $E$13) + CHOOSE(CONTROL!$C$25, 0, 0)</f>
        <v>294.04622571071502</v>
      </c>
    </row>
    <row r="590" spans="1:5" ht="15">
      <c r="A590" s="13">
        <v>59840</v>
      </c>
      <c r="B590" s="4">
        <f>49.8008 * CHOOSE(CONTROL!$C$6, $C$13, 100%, $E$13) + CHOOSE(CONTROL!$C$25, 0.0003, 0)</f>
        <v>49.801100000000005</v>
      </c>
      <c r="C590" s="4">
        <f>49.4883 * CHOOSE(CONTROL!$C$6, $C$13, 100%, $E$13) + CHOOSE(CONTROL!$C$25, 0.0003, 0)</f>
        <v>49.488600000000005</v>
      </c>
      <c r="D590" s="4">
        <f>53.1859 * CHOOSE(CONTROL!$C$6, $C$13, 100%, $E$13) + CHOOSE(CONTROL!$C$25, 0, 0)</f>
        <v>53.185899999999997</v>
      </c>
      <c r="E590" s="4">
        <f>284.276405050639 * CHOOSE(CONTROL!$C$6, $C$13, 100%, $E$13) + CHOOSE(CONTROL!$C$25, 0, 0)</f>
        <v>284.27640505063903</v>
      </c>
    </row>
    <row r="591" spans="1:5" ht="15">
      <c r="A591" s="13">
        <v>59870</v>
      </c>
      <c r="B591" s="4">
        <f>48.7399 * CHOOSE(CONTROL!$C$6, $C$13, 100%, $E$13) + CHOOSE(CONTROL!$C$25, 0.0003, 0)</f>
        <v>48.740200000000002</v>
      </c>
      <c r="C591" s="4">
        <f>48.4274 * CHOOSE(CONTROL!$C$6, $C$13, 100%, $E$13) + CHOOSE(CONTROL!$C$25, 0.0003, 0)</f>
        <v>48.427700000000002</v>
      </c>
      <c r="D591" s="4">
        <f>52.9381 * CHOOSE(CONTROL!$C$6, $C$13, 100%, $E$13) + CHOOSE(CONTROL!$C$25, 0, 0)</f>
        <v>52.938099999999999</v>
      </c>
      <c r="E591" s="4">
        <f>277.983910981021 * CHOOSE(CONTROL!$C$6, $C$13, 100%, $E$13) + CHOOSE(CONTROL!$C$25, 0, 0)</f>
        <v>277.98391098102098</v>
      </c>
    </row>
    <row r="592" spans="1:5" ht="15">
      <c r="A592" s="13">
        <v>59901</v>
      </c>
      <c r="B592" s="4">
        <f>48.0059 * CHOOSE(CONTROL!$C$6, $C$13, 100%, $E$13) + CHOOSE(CONTROL!$C$25, 0.0003, 0)</f>
        <v>48.0062</v>
      </c>
      <c r="C592" s="4">
        <f>47.6934 * CHOOSE(CONTROL!$C$6, $C$13, 100%, $E$13) + CHOOSE(CONTROL!$C$25, 0.0003, 0)</f>
        <v>47.6937</v>
      </c>
      <c r="D592" s="4">
        <f>51.114 * CHOOSE(CONTROL!$C$6, $C$13, 100%, $E$13) + CHOOSE(CONTROL!$C$25, 0, 0)</f>
        <v>51.113999999999997</v>
      </c>
      <c r="E592" s="4">
        <f>273.630313949867 * CHOOSE(CONTROL!$C$6, $C$13, 100%, $E$13) + CHOOSE(CONTROL!$C$25, 0, 0)</f>
        <v>273.630313949867</v>
      </c>
    </row>
    <row r="593" spans="1:5" ht="15">
      <c r="A593" s="13">
        <v>59932</v>
      </c>
      <c r="B593" s="4">
        <f>46.8134 * CHOOSE(CONTROL!$C$6, $C$13, 100%, $E$13) + CHOOSE(CONTROL!$C$25, 0.0003, 0)</f>
        <v>46.813700000000004</v>
      </c>
      <c r="C593" s="4">
        <f>46.5009 * CHOOSE(CONTROL!$C$6, $C$13, 100%, $E$13) + CHOOSE(CONTROL!$C$25, 0.0003, 0)</f>
        <v>46.501200000000004</v>
      </c>
      <c r="D593" s="4">
        <f>49.4375 * CHOOSE(CONTROL!$C$6, $C$13, 100%, $E$13) + CHOOSE(CONTROL!$C$25, 0, 0)</f>
        <v>49.4375</v>
      </c>
      <c r="E593" s="4">
        <f>265.783639267959 * CHOOSE(CONTROL!$C$6, $C$13, 100%, $E$13) + CHOOSE(CONTROL!$C$25, 0, 0)</f>
        <v>265.78363926795902</v>
      </c>
    </row>
    <row r="594" spans="1:5" ht="15">
      <c r="A594" s="13">
        <v>59961</v>
      </c>
      <c r="B594" s="4">
        <f>47.8804 * CHOOSE(CONTROL!$C$6, $C$13, 100%, $E$13) + CHOOSE(CONTROL!$C$25, 0.0003, 0)</f>
        <v>47.880700000000004</v>
      </c>
      <c r="C594" s="4">
        <f>47.5679 * CHOOSE(CONTROL!$C$6, $C$13, 100%, $E$13) + CHOOSE(CONTROL!$C$25, 0.0003, 0)</f>
        <v>47.568200000000004</v>
      </c>
      <c r="D594" s="4">
        <f>51.1257 * CHOOSE(CONTROL!$C$6, $C$13, 100%, $E$13) + CHOOSE(CONTROL!$C$25, 0, 0)</f>
        <v>51.125700000000002</v>
      </c>
      <c r="E594" s="4">
        <f>272.094390293434 * CHOOSE(CONTROL!$C$6, $C$13, 100%, $E$13) + CHOOSE(CONTROL!$C$25, 0, 0)</f>
        <v>272.094390293434</v>
      </c>
    </row>
    <row r="595" spans="1:5" ht="15">
      <c r="A595" s="13">
        <v>59992</v>
      </c>
      <c r="B595" s="4">
        <f>50.6825 * CHOOSE(CONTROL!$C$6, $C$13, 100%, $E$13) + CHOOSE(CONTROL!$C$25, 0.0003, 0)</f>
        <v>50.6828</v>
      </c>
      <c r="C595" s="4">
        <f>50.37 * CHOOSE(CONTROL!$C$6, $C$13, 100%, $E$13) + CHOOSE(CONTROL!$C$25, 0.0003, 0)</f>
        <v>50.3703</v>
      </c>
      <c r="D595" s="4">
        <f>53.7686 * CHOOSE(CONTROL!$C$6, $C$13, 100%, $E$13) + CHOOSE(CONTROL!$C$25, 0, 0)</f>
        <v>53.768599999999999</v>
      </c>
      <c r="E595" s="4">
        <f>288.666757860007 * CHOOSE(CONTROL!$C$6, $C$13, 100%, $E$13) + CHOOSE(CONTROL!$C$25, 0, 0)</f>
        <v>288.66675786000701</v>
      </c>
    </row>
    <row r="596" spans="1:5" ht="15">
      <c r="A596" s="13">
        <v>60022</v>
      </c>
      <c r="B596" s="4">
        <f>52.6733 * CHOOSE(CONTROL!$C$6, $C$13, 100%, $E$13) + CHOOSE(CONTROL!$C$25, 0.0003, 0)</f>
        <v>52.6736</v>
      </c>
      <c r="C596" s="4">
        <f>52.3608 * CHOOSE(CONTROL!$C$6, $C$13, 100%, $E$13) + CHOOSE(CONTROL!$C$25, 0.0003, 0)</f>
        <v>52.3611</v>
      </c>
      <c r="D596" s="4">
        <f>55.2909 * CHOOSE(CONTROL!$C$6, $C$13, 100%, $E$13) + CHOOSE(CONTROL!$C$25, 0, 0)</f>
        <v>55.290900000000001</v>
      </c>
      <c r="E596" s="4">
        <f>300.441645871894 * CHOOSE(CONTROL!$C$6, $C$13, 100%, $E$13) + CHOOSE(CONTROL!$C$25, 0, 0)</f>
        <v>300.44164587189402</v>
      </c>
    </row>
    <row r="597" spans="1:5" ht="15">
      <c r="A597" s="13">
        <v>60053</v>
      </c>
      <c r="B597" s="4">
        <f>53.8897 * CHOOSE(CONTROL!$C$6, $C$13, 100%, $E$13) + CHOOSE(CONTROL!$C$25, 0.0238, 0)</f>
        <v>53.913499999999999</v>
      </c>
      <c r="C597" s="4">
        <f>53.5772 * CHOOSE(CONTROL!$C$6, $C$13, 100%, $E$13) + CHOOSE(CONTROL!$C$25, 0.0238, 0)</f>
        <v>53.600999999999999</v>
      </c>
      <c r="D597" s="4">
        <f>54.6894 * CHOOSE(CONTROL!$C$6, $C$13, 100%, $E$13) + CHOOSE(CONTROL!$C$25, 0, 0)</f>
        <v>54.689399999999999</v>
      </c>
      <c r="E597" s="4">
        <f>307.635820242477 * CHOOSE(CONTROL!$C$6, $C$13, 100%, $E$13) + CHOOSE(CONTROL!$C$25, 0, 0)</f>
        <v>307.635820242477</v>
      </c>
    </row>
    <row r="598" spans="1:5" ht="15">
      <c r="A598" s="13">
        <v>60083</v>
      </c>
      <c r="B598" s="4">
        <f>54.0543 * CHOOSE(CONTROL!$C$6, $C$13, 100%, $E$13) + CHOOSE(CONTROL!$C$25, 0.0238, 0)</f>
        <v>54.078099999999999</v>
      </c>
      <c r="C598" s="4">
        <f>53.7418 * CHOOSE(CONTROL!$C$6, $C$13, 100%, $E$13) + CHOOSE(CONTROL!$C$25, 0.0238, 0)</f>
        <v>53.765599999999999</v>
      </c>
      <c r="D598" s="4">
        <f>55.1793 * CHOOSE(CONTROL!$C$6, $C$13, 100%, $E$13) + CHOOSE(CONTROL!$C$25, 0, 0)</f>
        <v>55.179299999999998</v>
      </c>
      <c r="E598" s="4">
        <f>308.609221891254 * CHOOSE(CONTROL!$C$6, $C$13, 100%, $E$13) + CHOOSE(CONTROL!$C$25, 0, 0)</f>
        <v>308.60922189125398</v>
      </c>
    </row>
    <row r="599" spans="1:5" ht="15">
      <c r="A599" s="13">
        <v>60114</v>
      </c>
      <c r="B599" s="4">
        <f>54.0377 * CHOOSE(CONTROL!$C$6, $C$13, 100%, $E$13) + CHOOSE(CONTROL!$C$25, 0.0238, 0)</f>
        <v>54.061500000000002</v>
      </c>
      <c r="C599" s="4">
        <f>53.7252 * CHOOSE(CONTROL!$C$6, $C$13, 100%, $E$13) + CHOOSE(CONTROL!$C$25, 0.0238, 0)</f>
        <v>53.749000000000002</v>
      </c>
      <c r="D599" s="4">
        <f>56.0633 * CHOOSE(CONTROL!$C$6, $C$13, 100%, $E$13) + CHOOSE(CONTROL!$C$25, 0, 0)</f>
        <v>56.063299999999998</v>
      </c>
      <c r="E599" s="4">
        <f>308.511063741797 * CHOOSE(CONTROL!$C$6, $C$13, 100%, $E$13) + CHOOSE(CONTROL!$C$25, 0, 0)</f>
        <v>308.51106374179699</v>
      </c>
    </row>
    <row r="600" spans="1:5" ht="15">
      <c r="A600" s="13">
        <v>60145</v>
      </c>
      <c r="B600" s="4">
        <f>55.2866 * CHOOSE(CONTROL!$C$6, $C$13, 100%, $E$13) + CHOOSE(CONTROL!$C$25, 0.0238, 0)</f>
        <v>55.310400000000001</v>
      </c>
      <c r="C600" s="4">
        <f>54.9741 * CHOOSE(CONTROL!$C$6, $C$13, 100%, $E$13) + CHOOSE(CONTROL!$C$25, 0.0238, 0)</f>
        <v>54.997900000000001</v>
      </c>
      <c r="D600" s="4">
        <f>55.4795 * CHOOSE(CONTROL!$C$6, $C$13, 100%, $E$13) + CHOOSE(CONTROL!$C$25, 0, 0)</f>
        <v>55.479500000000002</v>
      </c>
      <c r="E600" s="4">
        <f>315.897464488399 * CHOOSE(CONTROL!$C$6, $C$13, 100%, $E$13) + CHOOSE(CONTROL!$C$25, 0, 0)</f>
        <v>315.89746448839901</v>
      </c>
    </row>
    <row r="601" spans="1:5" ht="15">
      <c r="A601" s="13">
        <v>60175</v>
      </c>
      <c r="B601" s="4">
        <f>53.1581 * CHOOSE(CONTROL!$C$6, $C$13, 100%, $E$13) + CHOOSE(CONTROL!$C$25, 0.0238, 0)</f>
        <v>53.181899999999999</v>
      </c>
      <c r="C601" s="4">
        <f>52.8456 * CHOOSE(CONTROL!$C$6, $C$13, 100%, $E$13) + CHOOSE(CONTROL!$C$25, 0.0238, 0)</f>
        <v>52.869399999999999</v>
      </c>
      <c r="D601" s="4">
        <f>55.2037 * CHOOSE(CONTROL!$C$6, $C$13, 100%, $E$13) + CHOOSE(CONTROL!$C$25, 0, 0)</f>
        <v>55.203699999999998</v>
      </c>
      <c r="E601" s="4">
        <f>303.308681820602 * CHOOSE(CONTROL!$C$6, $C$13, 100%, $E$13) + CHOOSE(CONTROL!$C$25, 0, 0)</f>
        <v>303.30868182060198</v>
      </c>
    </row>
    <row r="602" spans="1:5" ht="15">
      <c r="A602" s="13">
        <v>60206</v>
      </c>
      <c r="B602" s="4">
        <f>51.4542 * CHOOSE(CONTROL!$C$6, $C$13, 100%, $E$13) + CHOOSE(CONTROL!$C$25, 0.0003, 0)</f>
        <v>51.454500000000003</v>
      </c>
      <c r="C602" s="4">
        <f>51.1417 * CHOOSE(CONTROL!$C$6, $C$13, 100%, $E$13) + CHOOSE(CONTROL!$C$25, 0.0003, 0)</f>
        <v>51.142000000000003</v>
      </c>
      <c r="D602" s="4">
        <f>54.4651 * CHOOSE(CONTROL!$C$6, $C$13, 100%, $E$13) + CHOOSE(CONTROL!$C$25, 0, 0)</f>
        <v>54.4651</v>
      </c>
      <c r="E602" s="4">
        <f>293.231111809735 * CHOOSE(CONTROL!$C$6, $C$13, 100%, $E$13) + CHOOSE(CONTROL!$C$25, 0, 0)</f>
        <v>293.23111180973501</v>
      </c>
    </row>
    <row r="603" spans="1:5" ht="15">
      <c r="A603" s="13">
        <v>60236</v>
      </c>
      <c r="B603" s="4">
        <f>50.3568 * CHOOSE(CONTROL!$C$6, $C$13, 100%, $E$13) + CHOOSE(CONTROL!$C$25, 0.0003, 0)</f>
        <v>50.357100000000003</v>
      </c>
      <c r="C603" s="4">
        <f>50.0443 * CHOOSE(CONTROL!$C$6, $C$13, 100%, $E$13) + CHOOSE(CONTROL!$C$25, 0.0003, 0)</f>
        <v>50.044600000000003</v>
      </c>
      <c r="D603" s="4">
        <f>54.2112 * CHOOSE(CONTROL!$C$6, $C$13, 100%, $E$13) + CHOOSE(CONTROL!$C$25, 0, 0)</f>
        <v>54.211199999999998</v>
      </c>
      <c r="E603" s="4">
        <f>286.740404176923 * CHOOSE(CONTROL!$C$6, $C$13, 100%, $E$13) + CHOOSE(CONTROL!$C$25, 0, 0)</f>
        <v>286.74040417692299</v>
      </c>
    </row>
    <row r="604" spans="1:5" ht="15">
      <c r="A604" s="13">
        <v>60267</v>
      </c>
      <c r="B604" s="4">
        <f>49.5975 * CHOOSE(CONTROL!$C$6, $C$13, 100%, $E$13) + CHOOSE(CONTROL!$C$25, 0.0003, 0)</f>
        <v>49.597799999999999</v>
      </c>
      <c r="C604" s="4">
        <f>49.285 * CHOOSE(CONTROL!$C$6, $C$13, 100%, $E$13) + CHOOSE(CONTROL!$C$25, 0.0003, 0)</f>
        <v>49.285299999999999</v>
      </c>
      <c r="D604" s="4">
        <f>52.3418 * CHOOSE(CONTROL!$C$6, $C$13, 100%, $E$13) + CHOOSE(CONTROL!$C$25, 0, 0)</f>
        <v>52.341799999999999</v>
      </c>
      <c r="E604" s="4">
        <f>282.249668839288 * CHOOSE(CONTROL!$C$6, $C$13, 100%, $E$13) + CHOOSE(CONTROL!$C$25, 0, 0)</f>
        <v>282.24966883928801</v>
      </c>
    </row>
    <row r="605" spans="1:5" ht="15">
      <c r="A605" s="13">
        <v>60298</v>
      </c>
      <c r="B605" s="4">
        <f>48.3638 * CHOOSE(CONTROL!$C$6, $C$13, 100%, $E$13) + CHOOSE(CONTROL!$C$25, 0.0003, 0)</f>
        <v>48.364100000000001</v>
      </c>
      <c r="C605" s="4">
        <f>48.0513 * CHOOSE(CONTROL!$C$6, $C$13, 100%, $E$13) + CHOOSE(CONTROL!$C$25, 0.0003, 0)</f>
        <v>48.051600000000001</v>
      </c>
      <c r="D605" s="4">
        <f>50.6238 * CHOOSE(CONTROL!$C$6, $C$13, 100%, $E$13) + CHOOSE(CONTROL!$C$25, 0, 0)</f>
        <v>50.623800000000003</v>
      </c>
      <c r="E605" s="4">
        <f>274.1558239049 * CHOOSE(CONTROL!$C$6, $C$13, 100%, $E$13) + CHOOSE(CONTROL!$C$25, 0, 0)</f>
        <v>274.15582390489999</v>
      </c>
    </row>
    <row r="606" spans="1:5" ht="15">
      <c r="A606" s="13">
        <v>60326</v>
      </c>
      <c r="B606" s="4">
        <f>49.4676 * CHOOSE(CONTROL!$C$6, $C$13, 100%, $E$13) + CHOOSE(CONTROL!$C$25, 0.0003, 0)</f>
        <v>49.4679</v>
      </c>
      <c r="C606" s="4">
        <f>49.1551 * CHOOSE(CONTROL!$C$6, $C$13, 100%, $E$13) + CHOOSE(CONTROL!$C$25, 0.0003, 0)</f>
        <v>49.1554</v>
      </c>
      <c r="D606" s="4">
        <f>52.3539 * CHOOSE(CONTROL!$C$6, $C$13, 100%, $E$13) + CHOOSE(CONTROL!$C$25, 0, 0)</f>
        <v>52.353900000000003</v>
      </c>
      <c r="E606" s="4">
        <f>280.665363587677 * CHOOSE(CONTROL!$C$6, $C$13, 100%, $E$13) + CHOOSE(CONTROL!$C$25, 0, 0)</f>
        <v>280.66536358767701</v>
      </c>
    </row>
    <row r="607" spans="1:5" ht="15">
      <c r="A607" s="13">
        <v>60357</v>
      </c>
      <c r="B607" s="4">
        <f>52.3663 * CHOOSE(CONTROL!$C$6, $C$13, 100%, $E$13) + CHOOSE(CONTROL!$C$25, 0.0003, 0)</f>
        <v>52.366600000000005</v>
      </c>
      <c r="C607" s="4">
        <f>52.0538 * CHOOSE(CONTROL!$C$6, $C$13, 100%, $E$13) + CHOOSE(CONTROL!$C$25, 0.0003, 0)</f>
        <v>52.054100000000005</v>
      </c>
      <c r="D607" s="4">
        <f>55.0623 * CHOOSE(CONTROL!$C$6, $C$13, 100%, $E$13) + CHOOSE(CONTROL!$C$25, 0, 0)</f>
        <v>55.0623</v>
      </c>
      <c r="E607" s="4">
        <f>297.759760732597 * CHOOSE(CONTROL!$C$6, $C$13, 100%, $E$13) + CHOOSE(CONTROL!$C$25, 0, 0)</f>
        <v>297.75976073259699</v>
      </c>
    </row>
    <row r="608" spans="1:5" ht="15">
      <c r="A608" s="13">
        <v>60387</v>
      </c>
      <c r="B608" s="4">
        <f>54.4259 * CHOOSE(CONTROL!$C$6, $C$13, 100%, $E$13) + CHOOSE(CONTROL!$C$25, 0.0003, 0)</f>
        <v>54.426200000000001</v>
      </c>
      <c r="C608" s="4">
        <f>54.1134 * CHOOSE(CONTROL!$C$6, $C$13, 100%, $E$13) + CHOOSE(CONTROL!$C$25, 0.0003, 0)</f>
        <v>54.113700000000001</v>
      </c>
      <c r="D608" s="4">
        <f>56.6224 * CHOOSE(CONTROL!$C$6, $C$13, 100%, $E$13) + CHOOSE(CONTROL!$C$25, 0, 0)</f>
        <v>56.622399999999999</v>
      </c>
      <c r="E608" s="4">
        <f>309.905557716858 * CHOOSE(CONTROL!$C$6, $C$13, 100%, $E$13) + CHOOSE(CONTROL!$C$25, 0, 0)</f>
        <v>309.90555771685803</v>
      </c>
    </row>
    <row r="609" spans="1:5" ht="15">
      <c r="A609" s="13">
        <v>60418</v>
      </c>
      <c r="B609" s="4">
        <f>55.6842 * CHOOSE(CONTROL!$C$6, $C$13, 100%, $E$13) + CHOOSE(CONTROL!$C$25, 0.0238, 0)</f>
        <v>55.707999999999998</v>
      </c>
      <c r="C609" s="4">
        <f>55.3717 * CHOOSE(CONTROL!$C$6, $C$13, 100%, $E$13) + CHOOSE(CONTROL!$C$25, 0.0238, 0)</f>
        <v>55.395499999999998</v>
      </c>
      <c r="D609" s="4">
        <f>56.0059 * CHOOSE(CONTROL!$C$6, $C$13, 100%, $E$13) + CHOOSE(CONTROL!$C$25, 0, 0)</f>
        <v>56.005899999999997</v>
      </c>
      <c r="E609" s="4">
        <f>317.326348580115 * CHOOSE(CONTROL!$C$6, $C$13, 100%, $E$13) + CHOOSE(CONTROL!$C$25, 0, 0)</f>
        <v>317.326348580115</v>
      </c>
    </row>
    <row r="610" spans="1:5" ht="15">
      <c r="A610" s="13">
        <v>60448</v>
      </c>
      <c r="B610" s="4">
        <f>55.8545 * CHOOSE(CONTROL!$C$6, $C$13, 100%, $E$13) + CHOOSE(CONTROL!$C$25, 0.0238, 0)</f>
        <v>55.878300000000003</v>
      </c>
      <c r="C610" s="4">
        <f>55.542 * CHOOSE(CONTROL!$C$6, $C$13, 100%, $E$13) + CHOOSE(CONTROL!$C$25, 0.0238, 0)</f>
        <v>55.565800000000003</v>
      </c>
      <c r="D610" s="4">
        <f>56.508 * CHOOSE(CONTROL!$C$6, $C$13, 100%, $E$13) + CHOOSE(CONTROL!$C$25, 0, 0)</f>
        <v>56.508000000000003</v>
      </c>
      <c r="E610" s="4">
        <f>318.330412380828 * CHOOSE(CONTROL!$C$6, $C$13, 100%, $E$13) + CHOOSE(CONTROL!$C$25, 0, 0)</f>
        <v>318.33041238082802</v>
      </c>
    </row>
    <row r="611" spans="1:5" ht="15">
      <c r="A611" s="13">
        <v>60479</v>
      </c>
      <c r="B611" s="4">
        <f>55.8373 * CHOOSE(CONTROL!$C$6, $C$13, 100%, $E$13) + CHOOSE(CONTROL!$C$25, 0.0238, 0)</f>
        <v>55.8611</v>
      </c>
      <c r="C611" s="4">
        <f>55.5248 * CHOOSE(CONTROL!$C$6, $C$13, 100%, $E$13) + CHOOSE(CONTROL!$C$25, 0.0238, 0)</f>
        <v>55.5486</v>
      </c>
      <c r="D611" s="4">
        <f>57.4139 * CHOOSE(CONTROL!$C$6, $C$13, 100%, $E$13) + CHOOSE(CONTROL!$C$25, 0, 0)</f>
        <v>57.413899999999998</v>
      </c>
      <c r="E611" s="4">
        <f>318.229162249664 * CHOOSE(CONTROL!$C$6, $C$13, 100%, $E$13) + CHOOSE(CONTROL!$C$25, 0, 0)</f>
        <v>318.229162249664</v>
      </c>
    </row>
    <row r="612" spans="1:5" ht="15">
      <c r="A612" s="13">
        <v>60510</v>
      </c>
      <c r="B612" s="4">
        <f>57.1293 * CHOOSE(CONTROL!$C$6, $C$13, 100%, $E$13) + CHOOSE(CONTROL!$C$25, 0.0238, 0)</f>
        <v>57.153100000000002</v>
      </c>
      <c r="C612" s="4">
        <f>56.8168 * CHOOSE(CONTROL!$C$6, $C$13, 100%, $E$13) + CHOOSE(CONTROL!$C$25, 0.0238, 0)</f>
        <v>56.840600000000002</v>
      </c>
      <c r="D612" s="4">
        <f>56.8156 * CHOOSE(CONTROL!$C$6, $C$13, 100%, $E$13) + CHOOSE(CONTROL!$C$25, 0, 0)</f>
        <v>56.815600000000003</v>
      </c>
      <c r="E612" s="4">
        <f>325.848234619784 * CHOOSE(CONTROL!$C$6, $C$13, 100%, $E$13) + CHOOSE(CONTROL!$C$25, 0, 0)</f>
        <v>325.84823461978402</v>
      </c>
    </row>
    <row r="613" spans="1:5" ht="15">
      <c r="A613" s="13">
        <v>60540</v>
      </c>
      <c r="B613" s="4">
        <f>54.9274 * CHOOSE(CONTROL!$C$6, $C$13, 100%, $E$13) + CHOOSE(CONTROL!$C$25, 0.0238, 0)</f>
        <v>54.9512</v>
      </c>
      <c r="C613" s="4">
        <f>54.6149 * CHOOSE(CONTROL!$C$6, $C$13, 100%, $E$13) + CHOOSE(CONTROL!$C$25, 0.0238, 0)</f>
        <v>54.6387</v>
      </c>
      <c r="D613" s="4">
        <f>56.5329 * CHOOSE(CONTROL!$C$6, $C$13, 100%, $E$13) + CHOOSE(CONTROL!$C$25, 0, 0)</f>
        <v>56.532899999999998</v>
      </c>
      <c r="E613" s="4">
        <f>312.862905297952 * CHOOSE(CONTROL!$C$6, $C$13, 100%, $E$13) + CHOOSE(CONTROL!$C$25, 0, 0)</f>
        <v>312.86290529795201</v>
      </c>
    </row>
    <row r="614" spans="1:5" ht="15">
      <c r="A614" s="13">
        <v>60571</v>
      </c>
      <c r="B614" s="4">
        <f>53.1647 * CHOOSE(CONTROL!$C$6, $C$13, 100%, $E$13) + CHOOSE(CONTROL!$C$25, 0.0003, 0)</f>
        <v>53.165000000000006</v>
      </c>
      <c r="C614" s="4">
        <f>52.8522 * CHOOSE(CONTROL!$C$6, $C$13, 100%, $E$13) + CHOOSE(CONTROL!$C$25, 0.0003, 0)</f>
        <v>52.852500000000006</v>
      </c>
      <c r="D614" s="4">
        <f>55.7761 * CHOOSE(CONTROL!$C$6, $C$13, 100%, $E$13) + CHOOSE(CONTROL!$C$25, 0, 0)</f>
        <v>55.7761</v>
      </c>
      <c r="E614" s="4">
        <f>302.467891831741 * CHOOSE(CONTROL!$C$6, $C$13, 100%, $E$13) + CHOOSE(CONTROL!$C$25, 0, 0)</f>
        <v>302.46789183174099</v>
      </c>
    </row>
    <row r="615" spans="1:5" ht="15">
      <c r="A615" s="13">
        <v>60601</v>
      </c>
      <c r="B615" s="4">
        <f>52.0294 * CHOOSE(CONTROL!$C$6, $C$13, 100%, $E$13) + CHOOSE(CONTROL!$C$25, 0.0003, 0)</f>
        <v>52.029700000000005</v>
      </c>
      <c r="C615" s="4">
        <f>51.7169 * CHOOSE(CONTROL!$C$6, $C$13, 100%, $E$13) + CHOOSE(CONTROL!$C$25, 0.0003, 0)</f>
        <v>51.717200000000005</v>
      </c>
      <c r="D615" s="4">
        <f>55.5159 * CHOOSE(CONTROL!$C$6, $C$13, 100%, $E$13) + CHOOSE(CONTROL!$C$25, 0, 0)</f>
        <v>55.515900000000002</v>
      </c>
      <c r="E615" s="4">
        <f>295.772726908496 * CHOOSE(CONTROL!$C$6, $C$13, 100%, $E$13) + CHOOSE(CONTROL!$C$25, 0, 0)</f>
        <v>295.772726908496</v>
      </c>
    </row>
    <row r="616" spans="1:5" ht="15">
      <c r="A616" s="13">
        <v>60632</v>
      </c>
      <c r="B616" s="4">
        <f>51.2439 * CHOOSE(CONTROL!$C$6, $C$13, 100%, $E$13) + CHOOSE(CONTROL!$C$25, 0.0003, 0)</f>
        <v>51.244199999999999</v>
      </c>
      <c r="C616" s="4">
        <f>50.9314 * CHOOSE(CONTROL!$C$6, $C$13, 100%, $E$13) + CHOOSE(CONTROL!$C$25, 0.0003, 0)</f>
        <v>50.931699999999999</v>
      </c>
      <c r="D616" s="4">
        <f>53.6002 * CHOOSE(CONTROL!$C$6, $C$13, 100%, $E$13) + CHOOSE(CONTROL!$C$25, 0, 0)</f>
        <v>53.600200000000001</v>
      </c>
      <c r="E616" s="4">
        <f>291.140533407726 * CHOOSE(CONTROL!$C$6, $C$13, 100%, $E$13) + CHOOSE(CONTROL!$C$25, 0, 0)</f>
        <v>291.14053340772602</v>
      </c>
    </row>
    <row r="617" spans="1:5" ht="15">
      <c r="A617" s="13">
        <v>60663</v>
      </c>
      <c r="B617" s="4">
        <f>49.9676 * CHOOSE(CONTROL!$C$6, $C$13, 100%, $E$13) + CHOOSE(CONTROL!$C$25, 0.0003, 0)</f>
        <v>49.9679</v>
      </c>
      <c r="C617" s="4">
        <f>49.6551 * CHOOSE(CONTROL!$C$6, $C$13, 100%, $E$13) + CHOOSE(CONTROL!$C$25, 0.0003, 0)</f>
        <v>49.6554</v>
      </c>
      <c r="D617" s="4">
        <f>51.8395 * CHOOSE(CONTROL!$C$6, $C$13, 100%, $E$13) + CHOOSE(CONTROL!$C$25, 0, 0)</f>
        <v>51.839500000000001</v>
      </c>
      <c r="E617" s="4">
        <f>282.791732357904 * CHOOSE(CONTROL!$C$6, $C$13, 100%, $E$13) + CHOOSE(CONTROL!$C$25, 0, 0)</f>
        <v>282.79173235790398</v>
      </c>
    </row>
    <row r="618" spans="1:5" ht="15">
      <c r="A618" s="13">
        <v>60691</v>
      </c>
      <c r="B618" s="4">
        <f>51.1096 * CHOOSE(CONTROL!$C$6, $C$13, 100%, $E$13) + CHOOSE(CONTROL!$C$25, 0.0003, 0)</f>
        <v>51.109900000000003</v>
      </c>
      <c r="C618" s="4">
        <f>50.7971 * CHOOSE(CONTROL!$C$6, $C$13, 100%, $E$13) + CHOOSE(CONTROL!$C$25, 0.0003, 0)</f>
        <v>50.797400000000003</v>
      </c>
      <c r="D618" s="4">
        <f>53.6125 * CHOOSE(CONTROL!$C$6, $C$13, 100%, $E$13) + CHOOSE(CONTROL!$C$25, 0, 0)</f>
        <v>53.612499999999997</v>
      </c>
      <c r="E618" s="4">
        <f>289.506322540689 * CHOOSE(CONTROL!$C$6, $C$13, 100%, $E$13) + CHOOSE(CONTROL!$C$25, 0, 0)</f>
        <v>289.50632254068898</v>
      </c>
    </row>
    <row r="619" spans="1:5" ht="15">
      <c r="A619" s="13">
        <v>60722</v>
      </c>
      <c r="B619" s="4">
        <f>54.1083 * CHOOSE(CONTROL!$C$6, $C$13, 100%, $E$13) + CHOOSE(CONTROL!$C$25, 0.0003, 0)</f>
        <v>54.108600000000003</v>
      </c>
      <c r="C619" s="4">
        <f>53.7958 * CHOOSE(CONTROL!$C$6, $C$13, 100%, $E$13) + CHOOSE(CONTROL!$C$25, 0.0003, 0)</f>
        <v>53.796100000000003</v>
      </c>
      <c r="D619" s="4">
        <f>56.388 * CHOOSE(CONTROL!$C$6, $C$13, 100%, $E$13) + CHOOSE(CONTROL!$C$25, 0, 0)</f>
        <v>56.387999999999998</v>
      </c>
      <c r="E619" s="4">
        <f>307.139193195674 * CHOOSE(CONTROL!$C$6, $C$13, 100%, $E$13) + CHOOSE(CONTROL!$C$25, 0, 0)</f>
        <v>307.13919319567401</v>
      </c>
    </row>
    <row r="620" spans="1:5" ht="15">
      <c r="A620" s="13">
        <v>60752</v>
      </c>
      <c r="B620" s="4">
        <f>56.2389 * CHOOSE(CONTROL!$C$6, $C$13, 100%, $E$13) + CHOOSE(CONTROL!$C$25, 0.0003, 0)</f>
        <v>56.239200000000004</v>
      </c>
      <c r="C620" s="4">
        <f>55.9264 * CHOOSE(CONTROL!$C$6, $C$13, 100%, $E$13) + CHOOSE(CONTROL!$C$25, 0.0003, 0)</f>
        <v>55.926700000000004</v>
      </c>
      <c r="D620" s="4">
        <f>57.9868 * CHOOSE(CONTROL!$C$6, $C$13, 100%, $E$13) + CHOOSE(CONTROL!$C$25, 0, 0)</f>
        <v>57.986800000000002</v>
      </c>
      <c r="E620" s="4">
        <f>319.667582784939 * CHOOSE(CONTROL!$C$6, $C$13, 100%, $E$13) + CHOOSE(CONTROL!$C$25, 0, 0)</f>
        <v>319.66758278493899</v>
      </c>
    </row>
    <row r="621" spans="1:5" ht="15">
      <c r="A621" s="13">
        <v>60783</v>
      </c>
      <c r="B621" s="4">
        <f>57.5407 * CHOOSE(CONTROL!$C$6, $C$13, 100%, $E$13) + CHOOSE(CONTROL!$C$25, 0.0238, 0)</f>
        <v>57.564500000000002</v>
      </c>
      <c r="C621" s="4">
        <f>57.2282 * CHOOSE(CONTROL!$C$6, $C$13, 100%, $E$13) + CHOOSE(CONTROL!$C$25, 0.0238, 0)</f>
        <v>57.252000000000002</v>
      </c>
      <c r="D621" s="4">
        <f>57.3551 * CHOOSE(CONTROL!$C$6, $C$13, 100%, $E$13) + CHOOSE(CONTROL!$C$25, 0, 0)</f>
        <v>57.3551</v>
      </c>
      <c r="E621" s="4">
        <f>327.322128560388 * CHOOSE(CONTROL!$C$6, $C$13, 100%, $E$13) + CHOOSE(CONTROL!$C$25, 0, 0)</f>
        <v>327.32212856038802</v>
      </c>
    </row>
    <row r="622" spans="1:5" ht="15">
      <c r="A622" s="13">
        <v>60813</v>
      </c>
      <c r="B622" s="4">
        <f>57.7168 * CHOOSE(CONTROL!$C$6, $C$13, 100%, $E$13) + CHOOSE(CONTROL!$C$25, 0.0238, 0)</f>
        <v>57.740600000000001</v>
      </c>
      <c r="C622" s="4">
        <f>57.4043 * CHOOSE(CONTROL!$C$6, $C$13, 100%, $E$13) + CHOOSE(CONTROL!$C$25, 0.0238, 0)</f>
        <v>57.428100000000001</v>
      </c>
      <c r="D622" s="4">
        <f>57.8696 * CHOOSE(CONTROL!$C$6, $C$13, 100%, $E$13) + CHOOSE(CONTROL!$C$25, 0, 0)</f>
        <v>57.869599999999998</v>
      </c>
      <c r="E622" s="4">
        <f>328.357820370824 * CHOOSE(CONTROL!$C$6, $C$13, 100%, $E$13) + CHOOSE(CONTROL!$C$25, 0, 0)</f>
        <v>328.35782037082402</v>
      </c>
    </row>
    <row r="623" spans="1:5" ht="15">
      <c r="A623" s="13">
        <v>60844</v>
      </c>
      <c r="B623" s="4">
        <f>57.699 * CHOOSE(CONTROL!$C$6, $C$13, 100%, $E$13) + CHOOSE(CONTROL!$C$25, 0.0238, 0)</f>
        <v>57.722799999999999</v>
      </c>
      <c r="C623" s="4">
        <f>57.3865 * CHOOSE(CONTROL!$C$6, $C$13, 100%, $E$13) + CHOOSE(CONTROL!$C$25, 0.0238, 0)</f>
        <v>57.410299999999999</v>
      </c>
      <c r="D623" s="4">
        <f>58.798 * CHOOSE(CONTROL!$C$6, $C$13, 100%, $E$13) + CHOOSE(CONTROL!$C$25, 0, 0)</f>
        <v>58.798000000000002</v>
      </c>
      <c r="E623" s="4">
        <f>328.253380860528 * CHOOSE(CONTROL!$C$6, $C$13, 100%, $E$13) + CHOOSE(CONTROL!$C$25, 0, 0)</f>
        <v>328.25338086052801</v>
      </c>
    </row>
    <row r="624" spans="1:5" ht="15">
      <c r="A624" s="13">
        <v>60875</v>
      </c>
      <c r="B624" s="4">
        <f>59.0356 * CHOOSE(CONTROL!$C$6, $C$13, 100%, $E$13) + CHOOSE(CONTROL!$C$25, 0.0238, 0)</f>
        <v>59.059400000000004</v>
      </c>
      <c r="C624" s="4">
        <f>58.7231 * CHOOSE(CONTROL!$C$6, $C$13, 100%, $E$13) + CHOOSE(CONTROL!$C$25, 0.0238, 0)</f>
        <v>58.746900000000004</v>
      </c>
      <c r="D624" s="4">
        <f>58.1849 * CHOOSE(CONTROL!$C$6, $C$13, 100%, $E$13) + CHOOSE(CONTROL!$C$25, 0, 0)</f>
        <v>58.184899999999999</v>
      </c>
      <c r="E624" s="4">
        <f>336.112454010307 * CHOOSE(CONTROL!$C$6, $C$13, 100%, $E$13) + CHOOSE(CONTROL!$C$25, 0, 0)</f>
        <v>336.11245401030698</v>
      </c>
    </row>
    <row r="625" spans="1:5" ht="15">
      <c r="A625" s="13">
        <v>60905</v>
      </c>
      <c r="B625" s="4">
        <f>56.7577 * CHOOSE(CONTROL!$C$6, $C$13, 100%, $E$13) + CHOOSE(CONTROL!$C$25, 0.0238, 0)</f>
        <v>56.781500000000001</v>
      </c>
      <c r="C625" s="4">
        <f>56.4452 * CHOOSE(CONTROL!$C$6, $C$13, 100%, $E$13) + CHOOSE(CONTROL!$C$25, 0.0238, 0)</f>
        <v>56.469000000000001</v>
      </c>
      <c r="D625" s="4">
        <f>57.8952 * CHOOSE(CONTROL!$C$6, $C$13, 100%, $E$13) + CHOOSE(CONTROL!$C$25, 0, 0)</f>
        <v>57.895200000000003</v>
      </c>
      <c r="E625" s="4">
        <f>322.718086814837 * CHOOSE(CONTROL!$C$6, $C$13, 100%, $E$13) + CHOOSE(CONTROL!$C$25, 0, 0)</f>
        <v>322.71808681483702</v>
      </c>
    </row>
    <row r="626" spans="1:5" ht="15">
      <c r="A626" s="13">
        <v>60936</v>
      </c>
      <c r="B626" s="4">
        <f>54.9342 * CHOOSE(CONTROL!$C$6, $C$13, 100%, $E$13) + CHOOSE(CONTROL!$C$25, 0.0003, 0)</f>
        <v>54.9345</v>
      </c>
      <c r="C626" s="4">
        <f>54.6217 * CHOOSE(CONTROL!$C$6, $C$13, 100%, $E$13) + CHOOSE(CONTROL!$C$25, 0.0003, 0)</f>
        <v>54.622</v>
      </c>
      <c r="D626" s="4">
        <f>57.1196 * CHOOSE(CONTROL!$C$6, $C$13, 100%, $E$13) + CHOOSE(CONTROL!$C$25, 0, 0)</f>
        <v>57.119599999999998</v>
      </c>
      <c r="E626" s="4">
        <f>311.995630424441 * CHOOSE(CONTROL!$C$6, $C$13, 100%, $E$13) + CHOOSE(CONTROL!$C$25, 0, 0)</f>
        <v>311.995630424441</v>
      </c>
    </row>
    <row r="627" spans="1:5" ht="15">
      <c r="A627" s="13">
        <v>60966</v>
      </c>
      <c r="B627" s="4">
        <f>53.7597 * CHOOSE(CONTROL!$C$6, $C$13, 100%, $E$13) + CHOOSE(CONTROL!$C$25, 0.0003, 0)</f>
        <v>53.760000000000005</v>
      </c>
      <c r="C627" s="4">
        <f>53.4472 * CHOOSE(CONTROL!$C$6, $C$13, 100%, $E$13) + CHOOSE(CONTROL!$C$25, 0.0003, 0)</f>
        <v>53.447500000000005</v>
      </c>
      <c r="D627" s="4">
        <f>56.8529 * CHOOSE(CONTROL!$C$6, $C$13, 100%, $E$13) + CHOOSE(CONTROL!$C$25, 0, 0)</f>
        <v>56.852899999999998</v>
      </c>
      <c r="E627" s="4">
        <f>305.089567806114 * CHOOSE(CONTROL!$C$6, $C$13, 100%, $E$13) + CHOOSE(CONTROL!$C$25, 0, 0)</f>
        <v>305.08956780611402</v>
      </c>
    </row>
    <row r="628" spans="1:5" ht="15">
      <c r="A628" s="13">
        <v>60997</v>
      </c>
      <c r="B628" s="4">
        <f>52.9471 * CHOOSE(CONTROL!$C$6, $C$13, 100%, $E$13) + CHOOSE(CONTROL!$C$25, 0.0003, 0)</f>
        <v>52.947400000000002</v>
      </c>
      <c r="C628" s="4">
        <f>52.6346 * CHOOSE(CONTROL!$C$6, $C$13, 100%, $E$13) + CHOOSE(CONTROL!$C$25, 0.0003, 0)</f>
        <v>52.634900000000002</v>
      </c>
      <c r="D628" s="4">
        <f>54.8897 * CHOOSE(CONTROL!$C$6, $C$13, 100%, $E$13) + CHOOSE(CONTROL!$C$25, 0, 0)</f>
        <v>54.889699999999998</v>
      </c>
      <c r="E628" s="4">
        <f>300.311460210069 * CHOOSE(CONTROL!$C$6, $C$13, 100%, $E$13) + CHOOSE(CONTROL!$C$25, 0, 0)</f>
        <v>300.31146021006901</v>
      </c>
    </row>
    <row r="629" spans="1:5" ht="15">
      <c r="A629" s="13">
        <v>61028</v>
      </c>
      <c r="B629" s="4">
        <f>51.6268 * CHOOSE(CONTROL!$C$6, $C$13, 100%, $E$13) + CHOOSE(CONTROL!$C$25, 0.0003, 0)</f>
        <v>51.627100000000006</v>
      </c>
      <c r="C629" s="4">
        <f>51.3143 * CHOOSE(CONTROL!$C$6, $C$13, 100%, $E$13) + CHOOSE(CONTROL!$C$25, 0.0003, 0)</f>
        <v>51.314600000000006</v>
      </c>
      <c r="D629" s="4">
        <f>53.0853 * CHOOSE(CONTROL!$C$6, $C$13, 100%, $E$13) + CHOOSE(CONTROL!$C$25, 0, 0)</f>
        <v>53.085299999999997</v>
      </c>
      <c r="E629" s="4">
        <f>291.699671927178 * CHOOSE(CONTROL!$C$6, $C$13, 100%, $E$13) + CHOOSE(CONTROL!$C$25, 0, 0)</f>
        <v>291.69967192717797</v>
      </c>
    </row>
    <row r="630" spans="1:5" ht="15">
      <c r="A630" s="13">
        <v>61056</v>
      </c>
      <c r="B630" s="4">
        <f>52.8081 * CHOOSE(CONTROL!$C$6, $C$13, 100%, $E$13) + CHOOSE(CONTROL!$C$25, 0.0003, 0)</f>
        <v>52.808400000000006</v>
      </c>
      <c r="C630" s="4">
        <f>52.4956 * CHOOSE(CONTROL!$C$6, $C$13, 100%, $E$13) + CHOOSE(CONTROL!$C$25, 0.0003, 0)</f>
        <v>52.495900000000006</v>
      </c>
      <c r="D630" s="4">
        <f>54.9023 * CHOOSE(CONTROL!$C$6, $C$13, 100%, $E$13) + CHOOSE(CONTROL!$C$25, 0, 0)</f>
        <v>54.902299999999997</v>
      </c>
      <c r="E630" s="4">
        <f>298.62577170072 * CHOOSE(CONTROL!$C$6, $C$13, 100%, $E$13) + CHOOSE(CONTROL!$C$25, 0, 0)</f>
        <v>298.62577170072001</v>
      </c>
    </row>
    <row r="631" spans="1:5" ht="15">
      <c r="A631" s="13">
        <v>61087</v>
      </c>
      <c r="B631" s="4">
        <f>55.9103 * CHOOSE(CONTROL!$C$6, $C$13, 100%, $E$13) + CHOOSE(CONTROL!$C$25, 0.0003, 0)</f>
        <v>55.910600000000002</v>
      </c>
      <c r="C631" s="4">
        <f>55.5978 * CHOOSE(CONTROL!$C$6, $C$13, 100%, $E$13) + CHOOSE(CONTROL!$C$25, 0.0003, 0)</f>
        <v>55.598100000000002</v>
      </c>
      <c r="D631" s="4">
        <f>57.7467 * CHOOSE(CONTROL!$C$6, $C$13, 100%, $E$13) + CHOOSE(CONTROL!$C$25, 0, 0)</f>
        <v>57.746699999999997</v>
      </c>
      <c r="E631" s="4">
        <f>316.814077781338 * CHOOSE(CONTROL!$C$6, $C$13, 100%, $E$13) + CHOOSE(CONTROL!$C$25, 0, 0)</f>
        <v>316.81407778133803</v>
      </c>
    </row>
    <row r="632" spans="1:5" ht="15">
      <c r="A632" s="13">
        <v>61117</v>
      </c>
      <c r="B632" s="4">
        <f>58.1144 * CHOOSE(CONTROL!$C$6, $C$13, 100%, $E$13) + CHOOSE(CONTROL!$C$25, 0.0003, 0)</f>
        <v>58.114700000000006</v>
      </c>
      <c r="C632" s="4">
        <f>57.8019 * CHOOSE(CONTROL!$C$6, $C$13, 100%, $E$13) + CHOOSE(CONTROL!$C$25, 0.0003, 0)</f>
        <v>57.802200000000006</v>
      </c>
      <c r="D632" s="4">
        <f>59.3852 * CHOOSE(CONTROL!$C$6, $C$13, 100%, $E$13) + CHOOSE(CONTROL!$C$25, 0, 0)</f>
        <v>59.385199999999998</v>
      </c>
      <c r="E632" s="4">
        <f>329.737111642665 * CHOOSE(CONTROL!$C$6, $C$13, 100%, $E$13) + CHOOSE(CONTROL!$C$25, 0, 0)</f>
        <v>329.73711164266501</v>
      </c>
    </row>
    <row r="633" spans="1:5" ht="15">
      <c r="A633" s="13">
        <v>61148</v>
      </c>
      <c r="B633" s="4">
        <f>59.4611 * CHOOSE(CONTROL!$C$6, $C$13, 100%, $E$13) + CHOOSE(CONTROL!$C$25, 0.0238, 0)</f>
        <v>59.484900000000003</v>
      </c>
      <c r="C633" s="4">
        <f>59.1486 * CHOOSE(CONTROL!$C$6, $C$13, 100%, $E$13) + CHOOSE(CONTROL!$C$25, 0.0238, 0)</f>
        <v>59.172400000000003</v>
      </c>
      <c r="D633" s="4">
        <f>58.7377 * CHOOSE(CONTROL!$C$6, $C$13, 100%, $E$13) + CHOOSE(CONTROL!$C$25, 0, 0)</f>
        <v>58.737699999999997</v>
      </c>
      <c r="E633" s="4">
        <f>337.632775610041 * CHOOSE(CONTROL!$C$6, $C$13, 100%, $E$13) + CHOOSE(CONTROL!$C$25, 0, 0)</f>
        <v>337.63277561004099</v>
      </c>
    </row>
    <row r="634" spans="1:5" ht="15">
      <c r="A634" s="13">
        <v>61178</v>
      </c>
      <c r="B634" s="4">
        <f>59.6433 * CHOOSE(CONTROL!$C$6, $C$13, 100%, $E$13) + CHOOSE(CONTROL!$C$25, 0.0238, 0)</f>
        <v>59.667100000000005</v>
      </c>
      <c r="C634" s="4">
        <f>59.3308 * CHOOSE(CONTROL!$C$6, $C$13, 100%, $E$13) + CHOOSE(CONTROL!$C$25, 0.0238, 0)</f>
        <v>59.354600000000005</v>
      </c>
      <c r="D634" s="4">
        <f>59.265 * CHOOSE(CONTROL!$C$6, $C$13, 100%, $E$13) + CHOOSE(CONTROL!$C$25, 0, 0)</f>
        <v>59.265000000000001</v>
      </c>
      <c r="E634" s="4">
        <f>338.701091712505 * CHOOSE(CONTROL!$C$6, $C$13, 100%, $E$13) + CHOOSE(CONTROL!$C$25, 0, 0)</f>
        <v>338.70109171250499</v>
      </c>
    </row>
    <row r="635" spans="1:5" ht="15">
      <c r="A635" s="13">
        <v>61209</v>
      </c>
      <c r="B635" s="4">
        <f>59.625 * CHOOSE(CONTROL!$C$6, $C$13, 100%, $E$13) + CHOOSE(CONTROL!$C$25, 0.0238, 0)</f>
        <v>59.648800000000001</v>
      </c>
      <c r="C635" s="4">
        <f>59.3125 * CHOOSE(CONTROL!$C$6, $C$13, 100%, $E$13) + CHOOSE(CONTROL!$C$25, 0.0238, 0)</f>
        <v>59.336300000000001</v>
      </c>
      <c r="D635" s="4">
        <f>60.2164 * CHOOSE(CONTROL!$C$6, $C$13, 100%, $E$13) + CHOOSE(CONTROL!$C$25, 0, 0)</f>
        <v>60.2164</v>
      </c>
      <c r="E635" s="4">
        <f>338.593362357635 * CHOOSE(CONTROL!$C$6, $C$13, 100%, $E$13) + CHOOSE(CONTROL!$C$25, 0, 0)</f>
        <v>338.59336235763499</v>
      </c>
    </row>
    <row r="636" spans="1:5" ht="15">
      <c r="A636" s="13">
        <v>61240</v>
      </c>
      <c r="B636" s="4">
        <f>61.0076 * CHOOSE(CONTROL!$C$6, $C$13, 100%, $E$13) + CHOOSE(CONTROL!$C$25, 0.0238, 0)</f>
        <v>61.031399999999998</v>
      </c>
      <c r="C636" s="4">
        <f>60.6951 * CHOOSE(CONTROL!$C$6, $C$13, 100%, $E$13) + CHOOSE(CONTROL!$C$25, 0.0238, 0)</f>
        <v>60.718899999999998</v>
      </c>
      <c r="D636" s="4">
        <f>59.5881 * CHOOSE(CONTROL!$C$6, $C$13, 100%, $E$13) + CHOOSE(CONTROL!$C$25, 0, 0)</f>
        <v>59.588099999999997</v>
      </c>
      <c r="E636" s="4">
        <f>346.699996311632 * CHOOSE(CONTROL!$C$6, $C$13, 100%, $E$13) + CHOOSE(CONTROL!$C$25, 0, 0)</f>
        <v>346.69999631163199</v>
      </c>
    </row>
    <row r="637" spans="1:5" ht="15">
      <c r="A637" s="13">
        <v>61270</v>
      </c>
      <c r="B637" s="4">
        <f>58.6511 * CHOOSE(CONTROL!$C$6, $C$13, 100%, $E$13) + CHOOSE(CONTROL!$C$25, 0.0238, 0)</f>
        <v>58.674900000000001</v>
      </c>
      <c r="C637" s="4">
        <f>58.3386 * CHOOSE(CONTROL!$C$6, $C$13, 100%, $E$13) + CHOOSE(CONTROL!$C$25, 0.0238, 0)</f>
        <v>58.362400000000001</v>
      </c>
      <c r="D637" s="4">
        <f>59.2912 * CHOOSE(CONTROL!$C$6, $C$13, 100%, $E$13) + CHOOSE(CONTROL!$C$25, 0, 0)</f>
        <v>59.291200000000003</v>
      </c>
      <c r="E637" s="4">
        <f>332.883706549504 * CHOOSE(CONTROL!$C$6, $C$13, 100%, $E$13) + CHOOSE(CONTROL!$C$25, 0, 0)</f>
        <v>332.88370654950398</v>
      </c>
    </row>
    <row r="638" spans="1:5" ht="15">
      <c r="A638" s="13">
        <v>61301</v>
      </c>
      <c r="B638" s="4">
        <f>56.7647 * CHOOSE(CONTROL!$C$6, $C$13, 100%, $E$13) + CHOOSE(CONTROL!$C$25, 0.0003, 0)</f>
        <v>56.765000000000001</v>
      </c>
      <c r="C638" s="4">
        <f>56.4522 * CHOOSE(CONTROL!$C$6, $C$13, 100%, $E$13) + CHOOSE(CONTROL!$C$25, 0.0003, 0)</f>
        <v>56.452500000000001</v>
      </c>
      <c r="D638" s="4">
        <f>58.4964 * CHOOSE(CONTROL!$C$6, $C$13, 100%, $E$13) + CHOOSE(CONTROL!$C$25, 0, 0)</f>
        <v>58.496400000000001</v>
      </c>
      <c r="E638" s="4">
        <f>321.823492782811 * CHOOSE(CONTROL!$C$6, $C$13, 100%, $E$13) + CHOOSE(CONTROL!$C$25, 0, 0)</f>
        <v>321.823492782811</v>
      </c>
    </row>
    <row r="639" spans="1:5" ht="15">
      <c r="A639" s="13">
        <v>61331</v>
      </c>
      <c r="B639" s="4">
        <f>55.5497 * CHOOSE(CONTROL!$C$6, $C$13, 100%, $E$13) + CHOOSE(CONTROL!$C$25, 0.0003, 0)</f>
        <v>55.550000000000004</v>
      </c>
      <c r="C639" s="4">
        <f>55.2372 * CHOOSE(CONTROL!$C$6, $C$13, 100%, $E$13) + CHOOSE(CONTROL!$C$25, 0.0003, 0)</f>
        <v>55.237500000000004</v>
      </c>
      <c r="D639" s="4">
        <f>58.2231 * CHOOSE(CONTROL!$C$6, $C$13, 100%, $E$13) + CHOOSE(CONTROL!$C$25, 0, 0)</f>
        <v>58.223100000000002</v>
      </c>
      <c r="E639" s="4">
        <f>314.699889192006 * CHOOSE(CONTROL!$C$6, $C$13, 100%, $E$13) + CHOOSE(CONTROL!$C$25, 0, 0)</f>
        <v>314.69988919200603</v>
      </c>
    </row>
    <row r="640" spans="1:5" ht="15">
      <c r="A640" s="13">
        <v>61362</v>
      </c>
      <c r="B640" s="4">
        <f>54.7091 * CHOOSE(CONTROL!$C$6, $C$13, 100%, $E$13) + CHOOSE(CONTROL!$C$25, 0.0003, 0)</f>
        <v>54.709400000000002</v>
      </c>
      <c r="C640" s="4">
        <f>54.3966 * CHOOSE(CONTROL!$C$6, $C$13, 100%, $E$13) + CHOOSE(CONTROL!$C$25, 0.0003, 0)</f>
        <v>54.396900000000002</v>
      </c>
      <c r="D640" s="4">
        <f>56.2112 * CHOOSE(CONTROL!$C$6, $C$13, 100%, $E$13) + CHOOSE(CONTROL!$C$25, 0, 0)</f>
        <v>56.211199999999998</v>
      </c>
      <c r="E640" s="4">
        <f>309.771271206686 * CHOOSE(CONTROL!$C$6, $C$13, 100%, $E$13) + CHOOSE(CONTROL!$C$25, 0, 0)</f>
        <v>309.77127120668598</v>
      </c>
    </row>
    <row r="641" spans="1:5" ht="15">
      <c r="A641" s="13">
        <v>61393</v>
      </c>
      <c r="B641" s="4">
        <f>53.3433 * CHOOSE(CONTROL!$C$6, $C$13, 100%, $E$13) + CHOOSE(CONTROL!$C$25, 0.0003, 0)</f>
        <v>53.343600000000002</v>
      </c>
      <c r="C641" s="4">
        <f>53.0308 * CHOOSE(CONTROL!$C$6, $C$13, 100%, $E$13) + CHOOSE(CONTROL!$C$25, 0.0003, 0)</f>
        <v>53.031100000000002</v>
      </c>
      <c r="D641" s="4">
        <f>54.3621 * CHOOSE(CONTROL!$C$6, $C$13, 100%, $E$13) + CHOOSE(CONTROL!$C$25, 0, 0)</f>
        <v>54.362099999999998</v>
      </c>
      <c r="E641" s="4">
        <f>300.888211592884 * CHOOSE(CONTROL!$C$6, $C$13, 100%, $E$13) + CHOOSE(CONTROL!$C$25, 0, 0)</f>
        <v>300.88821159288398</v>
      </c>
    </row>
    <row r="642" spans="1:5" ht="15">
      <c r="A642" s="13">
        <v>61422</v>
      </c>
      <c r="B642" s="4">
        <f>54.5653 * CHOOSE(CONTROL!$C$6, $C$13, 100%, $E$13) + CHOOSE(CONTROL!$C$25, 0.0003, 0)</f>
        <v>54.565600000000003</v>
      </c>
      <c r="C642" s="4">
        <f>54.2528 * CHOOSE(CONTROL!$C$6, $C$13, 100%, $E$13) + CHOOSE(CONTROL!$C$25, 0.0003, 0)</f>
        <v>54.253100000000003</v>
      </c>
      <c r="D642" s="4">
        <f>56.2241 * CHOOSE(CONTROL!$C$6, $C$13, 100%, $E$13) + CHOOSE(CONTROL!$C$25, 0, 0)</f>
        <v>56.2241</v>
      </c>
      <c r="E642" s="4">
        <f>308.032483509293 * CHOOSE(CONTROL!$C$6, $C$13, 100%, $E$13) + CHOOSE(CONTROL!$C$25, 0, 0)</f>
        <v>308.032483509293</v>
      </c>
    </row>
    <row r="643" spans="1:5" ht="15">
      <c r="A643" s="13">
        <v>61453</v>
      </c>
      <c r="B643" s="4">
        <f>57.7745 * CHOOSE(CONTROL!$C$6, $C$13, 100%, $E$13) + CHOOSE(CONTROL!$C$25, 0.0003, 0)</f>
        <v>57.774800000000006</v>
      </c>
      <c r="C643" s="4">
        <f>57.462 * CHOOSE(CONTROL!$C$6, $C$13, 100%, $E$13) + CHOOSE(CONTROL!$C$25, 0.0003, 0)</f>
        <v>57.462300000000006</v>
      </c>
      <c r="D643" s="4">
        <f>59.1391 * CHOOSE(CONTROL!$C$6, $C$13, 100%, $E$13) + CHOOSE(CONTROL!$C$25, 0, 0)</f>
        <v>59.139099999999999</v>
      </c>
      <c r="E643" s="4">
        <f>326.79372123145 * CHOOSE(CONTROL!$C$6, $C$13, 100%, $E$13) + CHOOSE(CONTROL!$C$25, 0, 0)</f>
        <v>326.79372123144998</v>
      </c>
    </row>
    <row r="644" spans="1:5" ht="15">
      <c r="A644" s="13">
        <v>61483</v>
      </c>
      <c r="B644" s="4">
        <f>60.0547 * CHOOSE(CONTROL!$C$6, $C$13, 100%, $E$13) + CHOOSE(CONTROL!$C$25, 0.0003, 0)</f>
        <v>60.055</v>
      </c>
      <c r="C644" s="4">
        <f>59.7422 * CHOOSE(CONTROL!$C$6, $C$13, 100%, $E$13) + CHOOSE(CONTROL!$C$25, 0.0003, 0)</f>
        <v>59.7425</v>
      </c>
      <c r="D644" s="4">
        <f>60.8181 * CHOOSE(CONTROL!$C$6, $C$13, 100%, $E$13) + CHOOSE(CONTROL!$C$25, 0, 0)</f>
        <v>60.818100000000001</v>
      </c>
      <c r="E644" s="4">
        <f>340.123830659409 * CHOOSE(CONTROL!$C$6, $C$13, 100%, $E$13) + CHOOSE(CONTROL!$C$25, 0, 0)</f>
        <v>340.12383065940901</v>
      </c>
    </row>
    <row r="645" spans="1:5" ht="15">
      <c r="A645" s="13">
        <v>61514</v>
      </c>
      <c r="B645" s="4">
        <f>61.4478 * CHOOSE(CONTROL!$C$6, $C$13, 100%, $E$13) + CHOOSE(CONTROL!$C$25, 0.0238, 0)</f>
        <v>61.471600000000002</v>
      </c>
      <c r="C645" s="4">
        <f>61.1353 * CHOOSE(CONTROL!$C$6, $C$13, 100%, $E$13) + CHOOSE(CONTROL!$C$25, 0.0238, 0)</f>
        <v>61.159100000000002</v>
      </c>
      <c r="D645" s="4">
        <f>60.1547 * CHOOSE(CONTROL!$C$6, $C$13, 100%, $E$13) + CHOOSE(CONTROL!$C$25, 0, 0)</f>
        <v>60.154699999999998</v>
      </c>
      <c r="E645" s="4">
        <f>348.268208041757 * CHOOSE(CONTROL!$C$6, $C$13, 100%, $E$13) + CHOOSE(CONTROL!$C$25, 0, 0)</f>
        <v>348.26820804175702</v>
      </c>
    </row>
    <row r="646" spans="1:5" ht="15">
      <c r="A646" s="13">
        <v>61544</v>
      </c>
      <c r="B646" s="4">
        <f>61.6363 * CHOOSE(CONTROL!$C$6, $C$13, 100%, $E$13) + CHOOSE(CONTROL!$C$25, 0.0238, 0)</f>
        <v>61.6601</v>
      </c>
      <c r="C646" s="4">
        <f>61.3238 * CHOOSE(CONTROL!$C$6, $C$13, 100%, $E$13) + CHOOSE(CONTROL!$C$25, 0.0238, 0)</f>
        <v>61.3476</v>
      </c>
      <c r="D646" s="4">
        <f>60.695 * CHOOSE(CONTROL!$C$6, $C$13, 100%, $E$13) + CHOOSE(CONTROL!$C$25, 0, 0)</f>
        <v>60.695</v>
      </c>
      <c r="E646" s="4">
        <f>349.370176101449 * CHOOSE(CONTROL!$C$6, $C$13, 100%, $E$13) + CHOOSE(CONTROL!$C$25, 0, 0)</f>
        <v>349.37017610144898</v>
      </c>
    </row>
    <row r="647" spans="1:5" ht="15">
      <c r="A647" s="13">
        <v>61575</v>
      </c>
      <c r="B647" s="4">
        <f>61.6173 * CHOOSE(CONTROL!$C$6, $C$13, 100%, $E$13) + CHOOSE(CONTROL!$C$25, 0.0238, 0)</f>
        <v>61.641100000000002</v>
      </c>
      <c r="C647" s="4">
        <f>61.3048 * CHOOSE(CONTROL!$C$6, $C$13, 100%, $E$13) + CHOOSE(CONTROL!$C$25, 0.0238, 0)</f>
        <v>61.328600000000002</v>
      </c>
      <c r="D647" s="4">
        <f>61.67 * CHOOSE(CONTROL!$C$6, $C$13, 100%, $E$13) + CHOOSE(CONTROL!$C$25, 0, 0)</f>
        <v>61.67</v>
      </c>
      <c r="E647" s="4">
        <f>349.2590532719 * CHOOSE(CONTROL!$C$6, $C$13, 100%, $E$13) + CHOOSE(CONTROL!$C$25, 0, 0)</f>
        <v>349.25905327189997</v>
      </c>
    </row>
    <row r="648" spans="1:5" ht="15">
      <c r="A648" s="13">
        <v>61606</v>
      </c>
      <c r="B648" s="4">
        <f>63.0477 * CHOOSE(CONTROL!$C$6, $C$13, 100%, $E$13) + CHOOSE(CONTROL!$C$25, 0.0238, 0)</f>
        <v>63.0715</v>
      </c>
      <c r="C648" s="4">
        <f>62.7352 * CHOOSE(CONTROL!$C$6, $C$13, 100%, $E$13) + CHOOSE(CONTROL!$C$25, 0.0238, 0)</f>
        <v>62.759</v>
      </c>
      <c r="D648" s="4">
        <f>61.0261 * CHOOSE(CONTROL!$C$6, $C$13, 100%, $E$13) + CHOOSE(CONTROL!$C$25, 0, 0)</f>
        <v>61.0261</v>
      </c>
      <c r="E648" s="4">
        <f>357.621046195448 * CHOOSE(CONTROL!$C$6, $C$13, 100%, $E$13) + CHOOSE(CONTROL!$C$25, 0, 0)</f>
        <v>357.621046195448</v>
      </c>
    </row>
    <row r="649" spans="1:5" ht="15">
      <c r="A649" s="13">
        <v>61636</v>
      </c>
      <c r="B649" s="4">
        <f>60.6099 * CHOOSE(CONTROL!$C$6, $C$13, 100%, $E$13) + CHOOSE(CONTROL!$C$25, 0.0238, 0)</f>
        <v>60.633700000000005</v>
      </c>
      <c r="C649" s="4">
        <f>60.2974 * CHOOSE(CONTROL!$C$6, $C$13, 100%, $E$13) + CHOOSE(CONTROL!$C$25, 0.0238, 0)</f>
        <v>60.321200000000005</v>
      </c>
      <c r="D649" s="4">
        <f>60.7219 * CHOOSE(CONTROL!$C$6, $C$13, 100%, $E$13) + CHOOSE(CONTROL!$C$25, 0, 0)</f>
        <v>60.721899999999998</v>
      </c>
      <c r="E649" s="4">
        <f>343.369543305814 * CHOOSE(CONTROL!$C$6, $C$13, 100%, $E$13) + CHOOSE(CONTROL!$C$25, 0, 0)</f>
        <v>343.36954330581398</v>
      </c>
    </row>
    <row r="650" spans="1:5" ht="15">
      <c r="A650" s="13">
        <v>61667</v>
      </c>
      <c r="B650" s="4">
        <f>58.6584 * CHOOSE(CONTROL!$C$6, $C$13, 100%, $E$13) + CHOOSE(CONTROL!$C$25, 0.0003, 0)</f>
        <v>58.658700000000003</v>
      </c>
      <c r="C650" s="4">
        <f>58.3459 * CHOOSE(CONTROL!$C$6, $C$13, 100%, $E$13) + CHOOSE(CONTROL!$C$25, 0.0003, 0)</f>
        <v>58.346200000000003</v>
      </c>
      <c r="D650" s="4">
        <f>59.9073 * CHOOSE(CONTROL!$C$6, $C$13, 100%, $E$13) + CHOOSE(CONTROL!$C$25, 0, 0)</f>
        <v>59.907299999999999</v>
      </c>
      <c r="E650" s="4">
        <f>331.96093280547 * CHOOSE(CONTROL!$C$6, $C$13, 100%, $E$13) + CHOOSE(CONTROL!$C$25, 0, 0)</f>
        <v>331.96093280547001</v>
      </c>
    </row>
    <row r="651" spans="1:5" ht="15">
      <c r="A651" s="13">
        <v>61697</v>
      </c>
      <c r="B651" s="4">
        <f>57.4015 * CHOOSE(CONTROL!$C$6, $C$13, 100%, $E$13) + CHOOSE(CONTROL!$C$25, 0.0003, 0)</f>
        <v>57.401800000000001</v>
      </c>
      <c r="C651" s="4">
        <f>57.089 * CHOOSE(CONTROL!$C$6, $C$13, 100%, $E$13) + CHOOSE(CONTROL!$C$25, 0.0003, 0)</f>
        <v>57.089300000000001</v>
      </c>
      <c r="D651" s="4">
        <f>59.6273 * CHOOSE(CONTROL!$C$6, $C$13, 100%, $E$13) + CHOOSE(CONTROL!$C$25, 0, 0)</f>
        <v>59.627299999999998</v>
      </c>
      <c r="E651" s="4">
        <f>324.612935701555 * CHOOSE(CONTROL!$C$6, $C$13, 100%, $E$13) + CHOOSE(CONTROL!$C$25, 0, 0)</f>
        <v>324.61293570155499</v>
      </c>
    </row>
    <row r="652" spans="1:5" ht="15">
      <c r="A652" s="13">
        <v>61728</v>
      </c>
      <c r="B652" s="4">
        <f>56.5319 * CHOOSE(CONTROL!$C$6, $C$13, 100%, $E$13) + CHOOSE(CONTROL!$C$25, 0.0003, 0)</f>
        <v>56.532200000000003</v>
      </c>
      <c r="C652" s="4">
        <f>56.2194 * CHOOSE(CONTROL!$C$6, $C$13, 100%, $E$13) + CHOOSE(CONTROL!$C$25, 0.0003, 0)</f>
        <v>56.219700000000003</v>
      </c>
      <c r="D652" s="4">
        <f>57.5655 * CHOOSE(CONTROL!$C$6, $C$13, 100%, $E$13) + CHOOSE(CONTROL!$C$25, 0, 0)</f>
        <v>57.5655</v>
      </c>
      <c r="E652" s="4">
        <f>319.529066249697 * CHOOSE(CONTROL!$C$6, $C$13, 100%, $E$13) + CHOOSE(CONTROL!$C$25, 0, 0)</f>
        <v>319.529066249697</v>
      </c>
    </row>
    <row r="653" spans="1:5" ht="15">
      <c r="A653" s="13">
        <v>61759</v>
      </c>
      <c r="B653" s="4">
        <f>55.1189 * CHOOSE(CONTROL!$C$6, $C$13, 100%, $E$13) + CHOOSE(CONTROL!$C$25, 0.0003, 0)</f>
        <v>55.119199999999999</v>
      </c>
      <c r="C653" s="4">
        <f>54.8064 * CHOOSE(CONTROL!$C$6, $C$13, 100%, $E$13) + CHOOSE(CONTROL!$C$25, 0.0003, 0)</f>
        <v>54.806699999999999</v>
      </c>
      <c r="D653" s="4">
        <f>55.6705 * CHOOSE(CONTROL!$C$6, $C$13, 100%, $E$13) + CHOOSE(CONTROL!$C$25, 0, 0)</f>
        <v>55.670499999999997</v>
      </c>
      <c r="E653" s="4">
        <f>310.36619025806 * CHOOSE(CONTROL!$C$6, $C$13, 100%, $E$13) + CHOOSE(CONTROL!$C$25, 0, 0)</f>
        <v>310.36619025805999</v>
      </c>
    </row>
    <row r="654" spans="1:5" ht="15">
      <c r="A654" s="13">
        <v>61787</v>
      </c>
      <c r="B654" s="4">
        <f>56.3832 * CHOOSE(CONTROL!$C$6, $C$13, 100%, $E$13) + CHOOSE(CONTROL!$C$25, 0.0003, 0)</f>
        <v>56.383500000000005</v>
      </c>
      <c r="C654" s="4">
        <f>56.0707 * CHOOSE(CONTROL!$C$6, $C$13, 100%, $E$13) + CHOOSE(CONTROL!$C$25, 0.0003, 0)</f>
        <v>56.071000000000005</v>
      </c>
      <c r="D654" s="4">
        <f>57.5787 * CHOOSE(CONTROL!$C$6, $C$13, 100%, $E$13) + CHOOSE(CONTROL!$C$25, 0, 0)</f>
        <v>57.578699999999998</v>
      </c>
      <c r="E654" s="4">
        <f>317.735506739836 * CHOOSE(CONTROL!$C$6, $C$13, 100%, $E$13) + CHOOSE(CONTROL!$C$25, 0, 0)</f>
        <v>317.73550673983601</v>
      </c>
    </row>
    <row r="655" spans="1:5" ht="15">
      <c r="A655" s="13">
        <v>61818</v>
      </c>
      <c r="B655" s="4">
        <f>59.7031 * CHOOSE(CONTROL!$C$6, $C$13, 100%, $E$13) + CHOOSE(CONTROL!$C$25, 0.0003, 0)</f>
        <v>59.703400000000002</v>
      </c>
      <c r="C655" s="4">
        <f>59.3906 * CHOOSE(CONTROL!$C$6, $C$13, 100%, $E$13) + CHOOSE(CONTROL!$C$25, 0.0003, 0)</f>
        <v>59.390900000000002</v>
      </c>
      <c r="D655" s="4">
        <f>60.5659 * CHOOSE(CONTROL!$C$6, $C$13, 100%, $E$13) + CHOOSE(CONTROL!$C$25, 0, 0)</f>
        <v>60.565899999999999</v>
      </c>
      <c r="E655" s="4">
        <f>337.087723450241 * CHOOSE(CONTROL!$C$6, $C$13, 100%, $E$13) + CHOOSE(CONTROL!$C$25, 0, 0)</f>
        <v>337.08772345024101</v>
      </c>
    </row>
    <row r="656" spans="1:5" ht="15">
      <c r="A656" s="13">
        <v>61848</v>
      </c>
      <c r="B656" s="4">
        <f>62.0619 * CHOOSE(CONTROL!$C$6, $C$13, 100%, $E$13) + CHOOSE(CONTROL!$C$25, 0.0003, 0)</f>
        <v>62.062200000000004</v>
      </c>
      <c r="C656" s="4">
        <f>61.7494 * CHOOSE(CONTROL!$C$6, $C$13, 100%, $E$13) + CHOOSE(CONTROL!$C$25, 0.0003, 0)</f>
        <v>61.749700000000004</v>
      </c>
      <c r="D656" s="4">
        <f>62.2867 * CHOOSE(CONTROL!$C$6, $C$13, 100%, $E$13) + CHOOSE(CONTROL!$C$25, 0, 0)</f>
        <v>62.286700000000003</v>
      </c>
      <c r="E656" s="4">
        <f>350.83773132518 * CHOOSE(CONTROL!$C$6, $C$13, 100%, $E$13) + CHOOSE(CONTROL!$C$25, 0, 0)</f>
        <v>350.83773132518002</v>
      </c>
    </row>
    <row r="657" spans="1:5" ht="15">
      <c r="A657" s="13">
        <v>61879</v>
      </c>
      <c r="B657" s="4">
        <f>63.5031 * CHOOSE(CONTROL!$C$6, $C$13, 100%, $E$13) + CHOOSE(CONTROL!$C$25, 0.0238, 0)</f>
        <v>63.526900000000005</v>
      </c>
      <c r="C657" s="4">
        <f>63.1906 * CHOOSE(CONTROL!$C$6, $C$13, 100%, $E$13) + CHOOSE(CONTROL!$C$25, 0.0238, 0)</f>
        <v>63.214400000000005</v>
      </c>
      <c r="D657" s="4">
        <f>61.6067 * CHOOSE(CONTROL!$C$6, $C$13, 100%, $E$13) + CHOOSE(CONTROL!$C$25, 0, 0)</f>
        <v>61.606699999999996</v>
      </c>
      <c r="E657" s="4">
        <f>359.238656595072 * CHOOSE(CONTROL!$C$6, $C$13, 100%, $E$13) + CHOOSE(CONTROL!$C$25, 0, 0)</f>
        <v>359.23865659507197</v>
      </c>
    </row>
    <row r="658" spans="1:5" ht="15">
      <c r="A658" s="13">
        <v>61909</v>
      </c>
      <c r="B658" s="4">
        <f>63.6981 * CHOOSE(CONTROL!$C$6, $C$13, 100%, $E$13) + CHOOSE(CONTROL!$C$25, 0.0238, 0)</f>
        <v>63.721899999999998</v>
      </c>
      <c r="C658" s="4">
        <f>63.3856 * CHOOSE(CONTROL!$C$6, $C$13, 100%, $E$13) + CHOOSE(CONTROL!$C$25, 0.0238, 0)</f>
        <v>63.409399999999998</v>
      </c>
      <c r="D658" s="4">
        <f>62.1605 * CHOOSE(CONTROL!$C$6, $C$13, 100%, $E$13) + CHOOSE(CONTROL!$C$25, 0, 0)</f>
        <v>62.160499999999999</v>
      </c>
      <c r="E658" s="4">
        <f>360.375336648645 * CHOOSE(CONTROL!$C$6, $C$13, 100%, $E$13) + CHOOSE(CONTROL!$C$25, 0, 0)</f>
        <v>360.37533664864497</v>
      </c>
    </row>
    <row r="659" spans="1:5" ht="15">
      <c r="A659" s="13">
        <v>61940</v>
      </c>
      <c r="B659" s="4">
        <f>63.6784 * CHOOSE(CONTROL!$C$6, $C$13, 100%, $E$13) + CHOOSE(CONTROL!$C$25, 0.0238, 0)</f>
        <v>63.702200000000005</v>
      </c>
      <c r="C659" s="4">
        <f>63.3659 * CHOOSE(CONTROL!$C$6, $C$13, 100%, $E$13) + CHOOSE(CONTROL!$C$25, 0.0238, 0)</f>
        <v>63.389700000000005</v>
      </c>
      <c r="D659" s="4">
        <f>63.1597 * CHOOSE(CONTROL!$C$6, $C$13, 100%, $E$13) + CHOOSE(CONTROL!$C$25, 0, 0)</f>
        <v>63.159700000000001</v>
      </c>
      <c r="E659" s="4">
        <f>360.260713449965 * CHOOSE(CONTROL!$C$6, $C$13, 100%, $E$13) + CHOOSE(CONTROL!$C$25, 0, 0)</f>
        <v>360.26071344996501</v>
      </c>
    </row>
    <row r="660" spans="1:5" ht="15">
      <c r="A660" s="13">
        <v>61971</v>
      </c>
      <c r="B660" s="4">
        <f>65.1581 * CHOOSE(CONTROL!$C$6, $C$13, 100%, $E$13) + CHOOSE(CONTROL!$C$25, 0.0238, 0)</f>
        <v>65.181899999999999</v>
      </c>
      <c r="C660" s="4">
        <f>64.8456 * CHOOSE(CONTROL!$C$6, $C$13, 100%, $E$13) + CHOOSE(CONTROL!$C$25, 0.0238, 0)</f>
        <v>64.869399999999999</v>
      </c>
      <c r="D660" s="4">
        <f>62.4998 * CHOOSE(CONTROL!$C$6, $C$13, 100%, $E$13) + CHOOSE(CONTROL!$C$25, 0, 0)</f>
        <v>62.4998</v>
      </c>
      <c r="E660" s="4">
        <f>368.886109150605 * CHOOSE(CONTROL!$C$6, $C$13, 100%, $E$13) + CHOOSE(CONTROL!$C$25, 0, 0)</f>
        <v>368.88610915060502</v>
      </c>
    </row>
    <row r="661" spans="1:5" ht="15">
      <c r="A661" s="13">
        <v>62001</v>
      </c>
      <c r="B661" s="4">
        <f>62.6363 * CHOOSE(CONTROL!$C$6, $C$13, 100%, $E$13) + CHOOSE(CONTROL!$C$25, 0.0238, 0)</f>
        <v>62.6601</v>
      </c>
      <c r="C661" s="4">
        <f>62.3238 * CHOOSE(CONTROL!$C$6, $C$13, 100%, $E$13) + CHOOSE(CONTROL!$C$25, 0.0238, 0)</f>
        <v>62.3476</v>
      </c>
      <c r="D661" s="4">
        <f>62.188 * CHOOSE(CONTROL!$C$6, $C$13, 100%, $E$13) + CHOOSE(CONTROL!$C$25, 0, 0)</f>
        <v>62.188000000000002</v>
      </c>
      <c r="E661" s="4">
        <f>354.185683919947 * CHOOSE(CONTROL!$C$6, $C$13, 100%, $E$13) + CHOOSE(CONTROL!$C$25, 0, 0)</f>
        <v>354.185683919947</v>
      </c>
    </row>
    <row r="662" spans="1:5" ht="15">
      <c r="A662" s="13">
        <v>62032</v>
      </c>
      <c r="B662" s="4">
        <f>60.6174 * CHOOSE(CONTROL!$C$6, $C$13, 100%, $E$13) + CHOOSE(CONTROL!$C$25, 0.0003, 0)</f>
        <v>60.617700000000006</v>
      </c>
      <c r="C662" s="4">
        <f>60.3049 * CHOOSE(CONTROL!$C$6, $C$13, 100%, $E$13) + CHOOSE(CONTROL!$C$25, 0.0003, 0)</f>
        <v>60.305200000000006</v>
      </c>
      <c r="D662" s="4">
        <f>61.3532 * CHOOSE(CONTROL!$C$6, $C$13, 100%, $E$13) + CHOOSE(CONTROL!$C$25, 0, 0)</f>
        <v>61.353200000000001</v>
      </c>
      <c r="E662" s="4">
        <f>342.417702188842 * CHOOSE(CONTROL!$C$6, $C$13, 100%, $E$13) + CHOOSE(CONTROL!$C$25, 0, 0)</f>
        <v>342.41770218884199</v>
      </c>
    </row>
    <row r="663" spans="1:5" ht="15">
      <c r="A663" s="13">
        <v>62062</v>
      </c>
      <c r="B663" s="4">
        <f>59.3172 * CHOOSE(CONTROL!$C$6, $C$13, 100%, $E$13) + CHOOSE(CONTROL!$C$25, 0.0003, 0)</f>
        <v>59.317500000000003</v>
      </c>
      <c r="C663" s="4">
        <f>59.0047 * CHOOSE(CONTROL!$C$6, $C$13, 100%, $E$13) + CHOOSE(CONTROL!$C$25, 0.0003, 0)</f>
        <v>59.005000000000003</v>
      </c>
      <c r="D663" s="4">
        <f>61.0662 * CHOOSE(CONTROL!$C$6, $C$13, 100%, $E$13) + CHOOSE(CONTROL!$C$25, 0, 0)</f>
        <v>61.066200000000002</v>
      </c>
      <c r="E663" s="4">
        <f>334.838243176154 * CHOOSE(CONTROL!$C$6, $C$13, 100%, $E$13) + CHOOSE(CONTROL!$C$25, 0, 0)</f>
        <v>334.83824317615398</v>
      </c>
    </row>
    <row r="664" spans="1:5" ht="15">
      <c r="A664" s="13">
        <v>62093</v>
      </c>
      <c r="B664" s="4">
        <f>58.4175 * CHOOSE(CONTROL!$C$6, $C$13, 100%, $E$13) + CHOOSE(CONTROL!$C$25, 0.0003, 0)</f>
        <v>58.4178</v>
      </c>
      <c r="C664" s="4">
        <f>58.105 * CHOOSE(CONTROL!$C$6, $C$13, 100%, $E$13) + CHOOSE(CONTROL!$C$25, 0.0003, 0)</f>
        <v>58.1053</v>
      </c>
      <c r="D664" s="4">
        <f>58.9533 * CHOOSE(CONTROL!$C$6, $C$13, 100%, $E$13) + CHOOSE(CONTROL!$C$25, 0, 0)</f>
        <v>58.953299999999999</v>
      </c>
      <c r="E664" s="4">
        <f>329.594231836562 * CHOOSE(CONTROL!$C$6, $C$13, 100%, $E$13) + CHOOSE(CONTROL!$C$25, 0, 0)</f>
        <v>329.59423183656202</v>
      </c>
    </row>
    <row r="665" spans="1:5" ht="15">
      <c r="A665" s="13">
        <v>62124</v>
      </c>
      <c r="B665" s="4">
        <f>56.9559 * CHOOSE(CONTROL!$C$6, $C$13, 100%, $E$13) + CHOOSE(CONTROL!$C$25, 0.0003, 0)</f>
        <v>56.956200000000003</v>
      </c>
      <c r="C665" s="4">
        <f>56.6434 * CHOOSE(CONTROL!$C$6, $C$13, 100%, $E$13) + CHOOSE(CONTROL!$C$25, 0.0003, 0)</f>
        <v>56.643700000000003</v>
      </c>
      <c r="D665" s="4">
        <f>57.0114 * CHOOSE(CONTROL!$C$6, $C$13, 100%, $E$13) + CHOOSE(CONTROL!$C$25, 0, 0)</f>
        <v>57.011400000000002</v>
      </c>
      <c r="E665" s="4">
        <f>320.142725251189 * CHOOSE(CONTROL!$C$6, $C$13, 100%, $E$13) + CHOOSE(CONTROL!$C$25, 0, 0)</f>
        <v>320.14272525118901</v>
      </c>
    </row>
    <row r="666" spans="1:5" ht="15">
      <c r="A666" s="13">
        <v>62152</v>
      </c>
      <c r="B666" s="4">
        <f>58.2637 * CHOOSE(CONTROL!$C$6, $C$13, 100%, $E$13) + CHOOSE(CONTROL!$C$25, 0.0003, 0)</f>
        <v>58.264000000000003</v>
      </c>
      <c r="C666" s="4">
        <f>57.9512 * CHOOSE(CONTROL!$C$6, $C$13, 100%, $E$13) + CHOOSE(CONTROL!$C$25, 0.0003, 0)</f>
        <v>57.951500000000003</v>
      </c>
      <c r="D666" s="4">
        <f>58.9669 * CHOOSE(CONTROL!$C$6, $C$13, 100%, $E$13) + CHOOSE(CONTROL!$C$25, 0, 0)</f>
        <v>58.966900000000003</v>
      </c>
      <c r="E666" s="4">
        <f>327.744175202141 * CHOOSE(CONTROL!$C$6, $C$13, 100%, $E$13) + CHOOSE(CONTROL!$C$25, 0, 0)</f>
        <v>327.74417520214098</v>
      </c>
    </row>
    <row r="667" spans="1:5" ht="15">
      <c r="A667" s="13">
        <v>62183</v>
      </c>
      <c r="B667" s="4">
        <f>61.6981 * CHOOSE(CONTROL!$C$6, $C$13, 100%, $E$13) + CHOOSE(CONTROL!$C$25, 0.0003, 0)</f>
        <v>61.698399999999999</v>
      </c>
      <c r="C667" s="4">
        <f>61.3856 * CHOOSE(CONTROL!$C$6, $C$13, 100%, $E$13) + CHOOSE(CONTROL!$C$25, 0.0003, 0)</f>
        <v>61.385899999999999</v>
      </c>
      <c r="D667" s="4">
        <f>62.0282 * CHOOSE(CONTROL!$C$6, $C$13, 100%, $E$13) + CHOOSE(CONTROL!$C$25, 0, 0)</f>
        <v>62.028199999999998</v>
      </c>
      <c r="E667" s="4">
        <f>347.705986738923 * CHOOSE(CONTROL!$C$6, $C$13, 100%, $E$13) + CHOOSE(CONTROL!$C$25, 0, 0)</f>
        <v>347.705986738923</v>
      </c>
    </row>
    <row r="668" spans="1:5" ht="15">
      <c r="A668" s="13">
        <v>62213</v>
      </c>
      <c r="B668" s="4">
        <f>64.1384 * CHOOSE(CONTROL!$C$6, $C$13, 100%, $E$13) + CHOOSE(CONTROL!$C$25, 0.0003, 0)</f>
        <v>64.1387</v>
      </c>
      <c r="C668" s="4">
        <f>63.8259 * CHOOSE(CONTROL!$C$6, $C$13, 100%, $E$13) + CHOOSE(CONTROL!$C$25, 0.0003, 0)</f>
        <v>63.8262</v>
      </c>
      <c r="D668" s="4">
        <f>63.7916 * CHOOSE(CONTROL!$C$6, $C$13, 100%, $E$13) + CHOOSE(CONTROL!$C$25, 0, 0)</f>
        <v>63.791600000000003</v>
      </c>
      <c r="E668" s="4">
        <f>361.889119861924 * CHOOSE(CONTROL!$C$6, $C$13, 100%, $E$13) + CHOOSE(CONTROL!$C$25, 0, 0)</f>
        <v>361.88911986192397</v>
      </c>
    </row>
    <row r="669" spans="1:5" ht="15">
      <c r="A669" s="13">
        <v>62244</v>
      </c>
      <c r="B669" s="4">
        <f>65.6293 * CHOOSE(CONTROL!$C$6, $C$13, 100%, $E$13) + CHOOSE(CONTROL!$C$25, 0.0238, 0)</f>
        <v>65.653099999999995</v>
      </c>
      <c r="C669" s="4">
        <f>65.3168 * CHOOSE(CONTROL!$C$6, $C$13, 100%, $E$13) + CHOOSE(CONTROL!$C$25, 0.0238, 0)</f>
        <v>65.340599999999995</v>
      </c>
      <c r="D669" s="4">
        <f>63.0948 * CHOOSE(CONTROL!$C$6, $C$13, 100%, $E$13) + CHOOSE(CONTROL!$C$25, 0, 0)</f>
        <v>63.094799999999999</v>
      </c>
      <c r="E669" s="4">
        <f>370.554674277817 * CHOOSE(CONTROL!$C$6, $C$13, 100%, $E$13) + CHOOSE(CONTROL!$C$25, 0, 0)</f>
        <v>370.55467427781701</v>
      </c>
    </row>
    <row r="670" spans="1:5" ht="15">
      <c r="A670" s="13">
        <v>62274</v>
      </c>
      <c r="B670" s="4">
        <f>65.831 * CHOOSE(CONTROL!$C$6, $C$13, 100%, $E$13) + CHOOSE(CONTROL!$C$25, 0.0238, 0)</f>
        <v>65.854799999999997</v>
      </c>
      <c r="C670" s="4">
        <f>65.5185 * CHOOSE(CONTROL!$C$6, $C$13, 100%, $E$13) + CHOOSE(CONTROL!$C$25, 0.0238, 0)</f>
        <v>65.542299999999997</v>
      </c>
      <c r="D670" s="4">
        <f>63.6623 * CHOOSE(CONTROL!$C$6, $C$13, 100%, $E$13) + CHOOSE(CONTROL!$C$25, 0, 0)</f>
        <v>63.662300000000002</v>
      </c>
      <c r="E670" s="4">
        <f>371.727159753077 * CHOOSE(CONTROL!$C$6, $C$13, 100%, $E$13) + CHOOSE(CONTROL!$C$25, 0, 0)</f>
        <v>371.72715975307699</v>
      </c>
    </row>
    <row r="671" spans="1:5" ht="15">
      <c r="A671" s="13">
        <v>62305</v>
      </c>
      <c r="B671" s="4">
        <f>65.8107 * CHOOSE(CONTROL!$C$6, $C$13, 100%, $E$13) + CHOOSE(CONTROL!$C$25, 0.0238, 0)</f>
        <v>65.834499999999991</v>
      </c>
      <c r="C671" s="4">
        <f>65.4982 * CHOOSE(CONTROL!$C$6, $C$13, 100%, $E$13) + CHOOSE(CONTROL!$C$25, 0.0238, 0)</f>
        <v>65.521999999999991</v>
      </c>
      <c r="D671" s="4">
        <f>64.6863 * CHOOSE(CONTROL!$C$6, $C$13, 100%, $E$13) + CHOOSE(CONTROL!$C$25, 0, 0)</f>
        <v>64.686300000000003</v>
      </c>
      <c r="E671" s="4">
        <f>371.608925923639 * CHOOSE(CONTROL!$C$6, $C$13, 100%, $E$13) + CHOOSE(CONTROL!$C$25, 0, 0)</f>
        <v>371.60892592363899</v>
      </c>
    </row>
    <row r="672" spans="1:5" ht="15">
      <c r="A672" s="13">
        <v>62336</v>
      </c>
      <c r="B672" s="4">
        <f>67.3414 * CHOOSE(CONTROL!$C$6, $C$13, 100%, $E$13) + CHOOSE(CONTROL!$C$25, 0.0238, 0)</f>
        <v>67.365199999999987</v>
      </c>
      <c r="C672" s="4">
        <f>67.0289 * CHOOSE(CONTROL!$C$6, $C$13, 100%, $E$13) + CHOOSE(CONTROL!$C$25, 0.0238, 0)</f>
        <v>67.052699999999987</v>
      </c>
      <c r="D672" s="4">
        <f>64.01 * CHOOSE(CONTROL!$C$6, $C$13, 100%, $E$13) + CHOOSE(CONTROL!$C$25, 0, 0)</f>
        <v>64.010000000000005</v>
      </c>
      <c r="E672" s="4">
        <f>380.506021588849 * CHOOSE(CONTROL!$C$6, $C$13, 100%, $E$13) + CHOOSE(CONTROL!$C$25, 0, 0)</f>
        <v>380.50602158884902</v>
      </c>
    </row>
    <row r="673" spans="1:5" ht="15">
      <c r="A673" s="13">
        <v>62366</v>
      </c>
      <c r="B673" s="4">
        <f>64.7325 * CHOOSE(CONTROL!$C$6, $C$13, 100%, $E$13) + CHOOSE(CONTROL!$C$25, 0.0238, 0)</f>
        <v>64.756299999999996</v>
      </c>
      <c r="C673" s="4">
        <f>64.42 * CHOOSE(CONTROL!$C$6, $C$13, 100%, $E$13) + CHOOSE(CONTROL!$C$25, 0.0238, 0)</f>
        <v>64.443799999999996</v>
      </c>
      <c r="D673" s="4">
        <f>63.6905 * CHOOSE(CONTROL!$C$6, $C$13, 100%, $E$13) + CHOOSE(CONTROL!$C$25, 0, 0)</f>
        <v>63.6905</v>
      </c>
      <c r="E673" s="4">
        <f>365.342532963425 * CHOOSE(CONTROL!$C$6, $C$13, 100%, $E$13) + CHOOSE(CONTROL!$C$25, 0, 0)</f>
        <v>365.34253296342501</v>
      </c>
    </row>
    <row r="674" spans="1:5" ht="15">
      <c r="A674" s="13">
        <v>62397</v>
      </c>
      <c r="B674" s="4">
        <f>62.6441 * CHOOSE(CONTROL!$C$6, $C$13, 100%, $E$13) + CHOOSE(CONTROL!$C$25, 0.0003, 0)</f>
        <v>62.644400000000005</v>
      </c>
      <c r="C674" s="4">
        <f>62.3316 * CHOOSE(CONTROL!$C$6, $C$13, 100%, $E$13) + CHOOSE(CONTROL!$C$25, 0.0003, 0)</f>
        <v>62.331900000000005</v>
      </c>
      <c r="D674" s="4">
        <f>62.835 * CHOOSE(CONTROL!$C$6, $C$13, 100%, $E$13) + CHOOSE(CONTROL!$C$25, 0, 0)</f>
        <v>62.835000000000001</v>
      </c>
      <c r="E674" s="4">
        <f>353.20385980779 * CHOOSE(CONTROL!$C$6, $C$13, 100%, $E$13) + CHOOSE(CONTROL!$C$25, 0, 0)</f>
        <v>353.20385980779002</v>
      </c>
    </row>
    <row r="675" spans="1:5" ht="15">
      <c r="A675" s="13">
        <v>62427</v>
      </c>
      <c r="B675" s="4">
        <f>61.2989 * CHOOSE(CONTROL!$C$6, $C$13, 100%, $E$13) + CHOOSE(CONTROL!$C$25, 0.0003, 0)</f>
        <v>61.299200000000006</v>
      </c>
      <c r="C675" s="4">
        <f>60.9864 * CHOOSE(CONTROL!$C$6, $C$13, 100%, $E$13) + CHOOSE(CONTROL!$C$25, 0.0003, 0)</f>
        <v>60.986700000000006</v>
      </c>
      <c r="D675" s="4">
        <f>62.5409 * CHOOSE(CONTROL!$C$6, $C$13, 100%, $E$13) + CHOOSE(CONTROL!$C$25, 0, 0)</f>
        <v>62.540900000000001</v>
      </c>
      <c r="E675" s="4">
        <f>345.385647836203 * CHOOSE(CONTROL!$C$6, $C$13, 100%, $E$13) + CHOOSE(CONTROL!$C$25, 0, 0)</f>
        <v>345.38564783620302</v>
      </c>
    </row>
    <row r="676" spans="1:5" ht="15">
      <c r="A676" s="13">
        <v>62458</v>
      </c>
      <c r="B676" s="4">
        <f>60.3683 * CHOOSE(CONTROL!$C$6, $C$13, 100%, $E$13) + CHOOSE(CONTROL!$C$25, 0.0003, 0)</f>
        <v>60.368600000000001</v>
      </c>
      <c r="C676" s="4">
        <f>60.0558 * CHOOSE(CONTROL!$C$6, $C$13, 100%, $E$13) + CHOOSE(CONTROL!$C$25, 0.0003, 0)</f>
        <v>60.056100000000001</v>
      </c>
      <c r="D676" s="4">
        <f>60.3756 * CHOOSE(CONTROL!$C$6, $C$13, 100%, $E$13) + CHOOSE(CONTROL!$C$25, 0, 0)</f>
        <v>60.375599999999999</v>
      </c>
      <c r="E676" s="4">
        <f>339.976450139414 * CHOOSE(CONTROL!$C$6, $C$13, 100%, $E$13) + CHOOSE(CONTROL!$C$25, 0, 0)</f>
        <v>339.976450139414</v>
      </c>
    </row>
    <row r="677" spans="1:5" ht="15">
      <c r="A677" s="13">
        <v>62489</v>
      </c>
      <c r="B677" s="4">
        <f>58.8561 * CHOOSE(CONTROL!$C$6, $C$13, 100%, $E$13) + CHOOSE(CONTROL!$C$25, 0.0003, 0)</f>
        <v>58.856400000000001</v>
      </c>
      <c r="C677" s="4">
        <f>58.5436 * CHOOSE(CONTROL!$C$6, $C$13, 100%, $E$13) + CHOOSE(CONTROL!$C$25, 0.0003, 0)</f>
        <v>58.543900000000001</v>
      </c>
      <c r="D677" s="4">
        <f>58.3855 * CHOOSE(CONTROL!$C$6, $C$13, 100%, $E$13) + CHOOSE(CONTROL!$C$25, 0, 0)</f>
        <v>58.3855</v>
      </c>
      <c r="E677" s="4">
        <f>330.227221096602 * CHOOSE(CONTROL!$C$6, $C$13, 100%, $E$13) + CHOOSE(CONTROL!$C$25, 0, 0)</f>
        <v>330.22722109660202</v>
      </c>
    </row>
    <row r="678" spans="1:5" ht="15">
      <c r="A678" s="13">
        <v>62517</v>
      </c>
      <c r="B678" s="4">
        <f>60.2091 * CHOOSE(CONTROL!$C$6, $C$13, 100%, $E$13) + CHOOSE(CONTROL!$C$25, 0.0003, 0)</f>
        <v>60.209400000000002</v>
      </c>
      <c r="C678" s="4">
        <f>59.8966 * CHOOSE(CONTROL!$C$6, $C$13, 100%, $E$13) + CHOOSE(CONTROL!$C$25, 0.0003, 0)</f>
        <v>59.896900000000002</v>
      </c>
      <c r="D678" s="4">
        <f>60.3895 * CHOOSE(CONTROL!$C$6, $C$13, 100%, $E$13) + CHOOSE(CONTROL!$C$25, 0, 0)</f>
        <v>60.389499999999998</v>
      </c>
      <c r="E678" s="4">
        <f>338.068116721008 * CHOOSE(CONTROL!$C$6, $C$13, 100%, $E$13) + CHOOSE(CONTROL!$C$25, 0, 0)</f>
        <v>338.06811672100798</v>
      </c>
    </row>
    <row r="679" spans="1:5" ht="15">
      <c r="A679" s="13">
        <v>62548</v>
      </c>
      <c r="B679" s="4">
        <f>63.762 * CHOOSE(CONTROL!$C$6, $C$13, 100%, $E$13) + CHOOSE(CONTROL!$C$25, 0.0003, 0)</f>
        <v>63.762300000000003</v>
      </c>
      <c r="C679" s="4">
        <f>63.4495 * CHOOSE(CONTROL!$C$6, $C$13, 100%, $E$13) + CHOOSE(CONTROL!$C$25, 0.0003, 0)</f>
        <v>63.449800000000003</v>
      </c>
      <c r="D679" s="4">
        <f>63.5268 * CHOOSE(CONTROL!$C$6, $C$13, 100%, $E$13) + CHOOSE(CONTROL!$C$25, 0, 0)</f>
        <v>63.526800000000001</v>
      </c>
      <c r="E679" s="4">
        <f>358.658725321199 * CHOOSE(CONTROL!$C$6, $C$13, 100%, $E$13) + CHOOSE(CONTROL!$C$25, 0, 0)</f>
        <v>358.65872532119897</v>
      </c>
    </row>
    <row r="680" spans="1:5" ht="15">
      <c r="A680" s="13">
        <v>62578</v>
      </c>
      <c r="B680" s="4">
        <f>66.2864 * CHOOSE(CONTROL!$C$6, $C$13, 100%, $E$13) + CHOOSE(CONTROL!$C$25, 0.0003, 0)</f>
        <v>66.286699999999996</v>
      </c>
      <c r="C680" s="4">
        <f>65.9739 * CHOOSE(CONTROL!$C$6, $C$13, 100%, $E$13) + CHOOSE(CONTROL!$C$25, 0.0003, 0)</f>
        <v>65.974199999999996</v>
      </c>
      <c r="D680" s="4">
        <f>65.3339 * CHOOSE(CONTROL!$C$6, $C$13, 100%, $E$13) + CHOOSE(CONTROL!$C$25, 0, 0)</f>
        <v>65.3339</v>
      </c>
      <c r="E680" s="4">
        <f>373.288627137574 * CHOOSE(CONTROL!$C$6, $C$13, 100%, $E$13) + CHOOSE(CONTROL!$C$25, 0, 0)</f>
        <v>373.288627137574</v>
      </c>
    </row>
    <row r="681" spans="1:5" ht="15">
      <c r="A681" s="13">
        <v>62609</v>
      </c>
      <c r="B681" s="4">
        <f>67.8288 * CHOOSE(CONTROL!$C$6, $C$13, 100%, $E$13) + CHOOSE(CONTROL!$C$25, 0.0238, 0)</f>
        <v>67.852599999999995</v>
      </c>
      <c r="C681" s="4">
        <f>67.5163 * CHOOSE(CONTROL!$C$6, $C$13, 100%, $E$13) + CHOOSE(CONTROL!$C$25, 0.0238, 0)</f>
        <v>67.540099999999995</v>
      </c>
      <c r="D681" s="4">
        <f>64.6198 * CHOOSE(CONTROL!$C$6, $C$13, 100%, $E$13) + CHOOSE(CONTROL!$C$25, 0, 0)</f>
        <v>64.619799999999998</v>
      </c>
      <c r="E681" s="4">
        <f>382.227146517568 * CHOOSE(CONTROL!$C$6, $C$13, 100%, $E$13) + CHOOSE(CONTROL!$C$25, 0, 0)</f>
        <v>382.22714651756797</v>
      </c>
    </row>
    <row r="682" spans="1:5" ht="15">
      <c r="A682" s="13">
        <v>62639</v>
      </c>
      <c r="B682" s="4">
        <f>68.0375 * CHOOSE(CONTROL!$C$6, $C$13, 100%, $E$13) + CHOOSE(CONTROL!$C$25, 0.0238, 0)</f>
        <v>68.061299999999989</v>
      </c>
      <c r="C682" s="4">
        <f>67.725 * CHOOSE(CONTROL!$C$6, $C$13, 100%, $E$13) + CHOOSE(CONTROL!$C$25, 0.0238, 0)</f>
        <v>67.748799999999989</v>
      </c>
      <c r="D682" s="4">
        <f>65.2014 * CHOOSE(CONTROL!$C$6, $C$13, 100%, $E$13) + CHOOSE(CONTROL!$C$25, 0, 0)</f>
        <v>65.201400000000007</v>
      </c>
      <c r="E682" s="4">
        <f>383.436565285299 * CHOOSE(CONTROL!$C$6, $C$13, 100%, $E$13) + CHOOSE(CONTROL!$C$25, 0, 0)</f>
        <v>383.43656528529903</v>
      </c>
    </row>
    <row r="683" spans="1:5" ht="15">
      <c r="A683" s="13">
        <v>62670</v>
      </c>
      <c r="B683" s="4">
        <f>68.0164 * CHOOSE(CONTROL!$C$6, $C$13, 100%, $E$13) + CHOOSE(CONTROL!$C$25, 0.0238, 0)</f>
        <v>68.040199999999999</v>
      </c>
      <c r="C683" s="4">
        <f>67.7039 * CHOOSE(CONTROL!$C$6, $C$13, 100%, $E$13) + CHOOSE(CONTROL!$C$25, 0.0238, 0)</f>
        <v>67.727699999999999</v>
      </c>
      <c r="D683" s="4">
        <f>66.2507 * CHOOSE(CONTROL!$C$6, $C$13, 100%, $E$13) + CHOOSE(CONTROL!$C$25, 0, 0)</f>
        <v>66.250699999999995</v>
      </c>
      <c r="E683" s="4">
        <f>383.314607090234 * CHOOSE(CONTROL!$C$6, $C$13, 100%, $E$13) + CHOOSE(CONTROL!$C$25, 0, 0)</f>
        <v>383.31460709023401</v>
      </c>
    </row>
    <row r="684" spans="1:5" ht="15">
      <c r="A684" s="13">
        <v>62701</v>
      </c>
      <c r="B684" s="4">
        <f>69.6 * CHOOSE(CONTROL!$C$6, $C$13, 100%, $E$13) + CHOOSE(CONTROL!$C$25, 0.0238, 0)</f>
        <v>69.623799999999989</v>
      </c>
      <c r="C684" s="4">
        <f>69.2875 * CHOOSE(CONTROL!$C$6, $C$13, 100%, $E$13) + CHOOSE(CONTROL!$C$25, 0.0238, 0)</f>
        <v>69.311299999999989</v>
      </c>
      <c r="D684" s="4">
        <f>65.5577 * CHOOSE(CONTROL!$C$6, $C$13, 100%, $E$13) + CHOOSE(CONTROL!$C$25, 0, 0)</f>
        <v>65.557699999999997</v>
      </c>
      <c r="E684" s="4">
        <f>392.491961268898 * CHOOSE(CONTROL!$C$6, $C$13, 100%, $E$13) + CHOOSE(CONTROL!$C$25, 0, 0)</f>
        <v>392.49196126889802</v>
      </c>
    </row>
    <row r="685" spans="1:5" ht="15">
      <c r="A685" s="13">
        <v>62731</v>
      </c>
      <c r="B685" s="4">
        <f>66.9011 * CHOOSE(CONTROL!$C$6, $C$13, 100%, $E$13) + CHOOSE(CONTROL!$C$25, 0.0238, 0)</f>
        <v>66.924899999999994</v>
      </c>
      <c r="C685" s="4">
        <f>66.5886 * CHOOSE(CONTROL!$C$6, $C$13, 100%, $E$13) + CHOOSE(CONTROL!$C$25, 0.0238, 0)</f>
        <v>66.612399999999994</v>
      </c>
      <c r="D685" s="4">
        <f>65.2303 * CHOOSE(CONTROL!$C$6, $C$13, 100%, $E$13) + CHOOSE(CONTROL!$C$25, 0, 0)</f>
        <v>65.2303</v>
      </c>
      <c r="E685" s="4">
        <f>376.850822751773 * CHOOSE(CONTROL!$C$6, $C$13, 100%, $E$13) + CHOOSE(CONTROL!$C$25, 0, 0)</f>
        <v>376.85082275177302</v>
      </c>
    </row>
    <row r="686" spans="1:5" ht="15">
      <c r="A686" s="13">
        <v>62762</v>
      </c>
      <c r="B686" s="4">
        <f>64.7406 * CHOOSE(CONTROL!$C$6, $C$13, 100%, $E$13) + CHOOSE(CONTROL!$C$25, 0.0003, 0)</f>
        <v>64.740899999999996</v>
      </c>
      <c r="C686" s="4">
        <f>64.4281 * CHOOSE(CONTROL!$C$6, $C$13, 100%, $E$13) + CHOOSE(CONTROL!$C$25, 0.0003, 0)</f>
        <v>64.428399999999996</v>
      </c>
      <c r="D686" s="4">
        <f>64.3536 * CHOOSE(CONTROL!$C$6, $C$13, 100%, $E$13) + CHOOSE(CONTROL!$C$25, 0, 0)</f>
        <v>64.3536</v>
      </c>
      <c r="E686" s="4">
        <f>364.329781391736 * CHOOSE(CONTROL!$C$6, $C$13, 100%, $E$13) + CHOOSE(CONTROL!$C$25, 0, 0)</f>
        <v>364.32978139173599</v>
      </c>
    </row>
    <row r="687" spans="1:5" ht="15">
      <c r="A687" s="13">
        <v>62792</v>
      </c>
      <c r="B687" s="4">
        <f>63.349 * CHOOSE(CONTROL!$C$6, $C$13, 100%, $E$13) + CHOOSE(CONTROL!$C$25, 0.0003, 0)</f>
        <v>63.349299999999999</v>
      </c>
      <c r="C687" s="4">
        <f>63.0365 * CHOOSE(CONTROL!$C$6, $C$13, 100%, $E$13) + CHOOSE(CONTROL!$C$25, 0.0003, 0)</f>
        <v>63.036799999999999</v>
      </c>
      <c r="D687" s="4">
        <f>64.0522 * CHOOSE(CONTROL!$C$6, $C$13, 100%, $E$13) + CHOOSE(CONTROL!$C$25, 0, 0)</f>
        <v>64.052199999999999</v>
      </c>
      <c r="E687" s="4">
        <f>356.265295743043 * CHOOSE(CONTROL!$C$6, $C$13, 100%, $E$13) + CHOOSE(CONTROL!$C$25, 0, 0)</f>
        <v>356.265295743043</v>
      </c>
    </row>
    <row r="688" spans="1:5" ht="15">
      <c r="A688" s="13">
        <v>62823</v>
      </c>
      <c r="B688" s="4">
        <f>62.3863 * CHOOSE(CONTROL!$C$6, $C$13, 100%, $E$13) + CHOOSE(CONTROL!$C$25, 0.0003, 0)</f>
        <v>62.386600000000001</v>
      </c>
      <c r="C688" s="4">
        <f>62.0738 * CHOOSE(CONTROL!$C$6, $C$13, 100%, $E$13) + CHOOSE(CONTROL!$C$25, 0.0003, 0)</f>
        <v>62.074100000000001</v>
      </c>
      <c r="D688" s="4">
        <f>61.8332 * CHOOSE(CONTROL!$C$6, $C$13, 100%, $E$13) + CHOOSE(CONTROL!$C$25, 0, 0)</f>
        <v>61.833199999999998</v>
      </c>
      <c r="E688" s="4">
        <f>350.685708318806 * CHOOSE(CONTROL!$C$6, $C$13, 100%, $E$13) + CHOOSE(CONTROL!$C$25, 0, 0)</f>
        <v>350.68570831880601</v>
      </c>
    </row>
    <row r="689" spans="1:5" ht="15">
      <c r="A689" s="13">
        <v>62854</v>
      </c>
      <c r="B689" s="4">
        <f>60.822 * CHOOSE(CONTROL!$C$6, $C$13, 100%, $E$13) + CHOOSE(CONTROL!$C$25, 0.0003, 0)</f>
        <v>60.822300000000006</v>
      </c>
      <c r="C689" s="4">
        <f>60.5095 * CHOOSE(CONTROL!$C$6, $C$13, 100%, $E$13) + CHOOSE(CONTROL!$C$25, 0.0003, 0)</f>
        <v>60.509800000000006</v>
      </c>
      <c r="D689" s="4">
        <f>59.7937 * CHOOSE(CONTROL!$C$6, $C$13, 100%, $E$13) + CHOOSE(CONTROL!$C$25, 0, 0)</f>
        <v>59.793700000000001</v>
      </c>
      <c r="E689" s="4">
        <f>340.629378561145 * CHOOSE(CONTROL!$C$6, $C$13, 100%, $E$13) + CHOOSE(CONTROL!$C$25, 0, 0)</f>
        <v>340.62937856114502</v>
      </c>
    </row>
    <row r="690" spans="1:5" ht="15">
      <c r="A690" s="13">
        <v>62883</v>
      </c>
      <c r="B690" s="4">
        <f>62.2216 * CHOOSE(CONTROL!$C$6, $C$13, 100%, $E$13) + CHOOSE(CONTROL!$C$25, 0.0003, 0)</f>
        <v>62.221900000000005</v>
      </c>
      <c r="C690" s="4">
        <f>61.9091 * CHOOSE(CONTROL!$C$6, $C$13, 100%, $E$13) + CHOOSE(CONTROL!$C$25, 0.0003, 0)</f>
        <v>61.909400000000005</v>
      </c>
      <c r="D690" s="4">
        <f>61.8474 * CHOOSE(CONTROL!$C$6, $C$13, 100%, $E$13) + CHOOSE(CONTROL!$C$25, 0, 0)</f>
        <v>61.8474</v>
      </c>
      <c r="E690" s="4">
        <f>348.71726239772 * CHOOSE(CONTROL!$C$6, $C$13, 100%, $E$13) + CHOOSE(CONTROL!$C$25, 0, 0)</f>
        <v>348.71726239771999</v>
      </c>
    </row>
    <row r="691" spans="1:5" ht="15">
      <c r="A691" s="13">
        <v>62914</v>
      </c>
      <c r="B691" s="4">
        <f>65.8971 * CHOOSE(CONTROL!$C$6, $C$13, 100%, $E$13) + CHOOSE(CONTROL!$C$25, 0.0003, 0)</f>
        <v>65.89739999999999</v>
      </c>
      <c r="C691" s="4">
        <f>65.5846 * CHOOSE(CONTROL!$C$6, $C$13, 100%, $E$13) + CHOOSE(CONTROL!$C$25, 0.0003, 0)</f>
        <v>65.58489999999999</v>
      </c>
      <c r="D691" s="4">
        <f>65.0625 * CHOOSE(CONTROL!$C$6, $C$13, 100%, $E$13) + CHOOSE(CONTROL!$C$25, 0, 0)</f>
        <v>65.0625</v>
      </c>
      <c r="E691" s="4">
        <f>369.956475168817 * CHOOSE(CONTROL!$C$6, $C$13, 100%, $E$13) + CHOOSE(CONTROL!$C$25, 0, 0)</f>
        <v>369.95647516881701</v>
      </c>
    </row>
    <row r="692" spans="1:5" ht="15">
      <c r="A692" s="13">
        <v>62944</v>
      </c>
      <c r="B692" s="4">
        <f>68.5086 * CHOOSE(CONTROL!$C$6, $C$13, 100%, $E$13) + CHOOSE(CONTROL!$C$25, 0.0003, 0)</f>
        <v>68.508899999999997</v>
      </c>
      <c r="C692" s="4">
        <f>68.1961 * CHOOSE(CONTROL!$C$6, $C$13, 100%, $E$13) + CHOOSE(CONTROL!$C$25, 0.0003, 0)</f>
        <v>68.196399999999997</v>
      </c>
      <c r="D692" s="4">
        <f>66.9144 * CHOOSE(CONTROL!$C$6, $C$13, 100%, $E$13) + CHOOSE(CONTROL!$C$25, 0, 0)</f>
        <v>66.914400000000001</v>
      </c>
      <c r="E692" s="4">
        <f>385.047218892408 * CHOOSE(CONTROL!$C$6, $C$13, 100%, $E$13) + CHOOSE(CONTROL!$C$25, 0, 0)</f>
        <v>385.04721889240801</v>
      </c>
    </row>
    <row r="693" spans="1:5" ht="15">
      <c r="A693" s="13">
        <v>62975</v>
      </c>
      <c r="B693" s="4">
        <f>70.1042 * CHOOSE(CONTROL!$C$6, $C$13, 100%, $E$13) + CHOOSE(CONTROL!$C$25, 0.0238, 0)</f>
        <v>70.128</v>
      </c>
      <c r="C693" s="4">
        <f>69.7917 * CHOOSE(CONTROL!$C$6, $C$13, 100%, $E$13) + CHOOSE(CONTROL!$C$25, 0.0238, 0)</f>
        <v>69.8155</v>
      </c>
      <c r="D693" s="4">
        <f>66.1826 * CHOOSE(CONTROL!$C$6, $C$13, 100%, $E$13) + CHOOSE(CONTROL!$C$25, 0, 0)</f>
        <v>66.182599999999994</v>
      </c>
      <c r="E693" s="4">
        <f>394.267301632872 * CHOOSE(CONTROL!$C$6, $C$13, 100%, $E$13) + CHOOSE(CONTROL!$C$25, 0, 0)</f>
        <v>394.26730163287198</v>
      </c>
    </row>
    <row r="694" spans="1:5" ht="15">
      <c r="A694" s="13">
        <v>63005</v>
      </c>
      <c r="B694" s="4">
        <f>70.3201 * CHOOSE(CONTROL!$C$6, $C$13, 100%, $E$13) + CHOOSE(CONTROL!$C$25, 0.0238, 0)</f>
        <v>70.343899999999991</v>
      </c>
      <c r="C694" s="4">
        <f>70.0076 * CHOOSE(CONTROL!$C$6, $C$13, 100%, $E$13) + CHOOSE(CONTROL!$C$25, 0.0238, 0)</f>
        <v>70.031399999999991</v>
      </c>
      <c r="D694" s="4">
        <f>66.7786 * CHOOSE(CONTROL!$C$6, $C$13, 100%, $E$13) + CHOOSE(CONTROL!$C$25, 0, 0)</f>
        <v>66.778599999999997</v>
      </c>
      <c r="E694" s="4">
        <f>395.514817091786 * CHOOSE(CONTROL!$C$6, $C$13, 100%, $E$13) + CHOOSE(CONTROL!$C$25, 0, 0)</f>
        <v>395.51481709178597</v>
      </c>
    </row>
    <row r="695" spans="1:5" ht="15">
      <c r="A695" s="13">
        <v>63036</v>
      </c>
      <c r="B695" s="4">
        <f>70.2983 * CHOOSE(CONTROL!$C$6, $C$13, 100%, $E$13) + CHOOSE(CONTROL!$C$25, 0.0238, 0)</f>
        <v>70.322099999999992</v>
      </c>
      <c r="C695" s="4">
        <f>69.9858 * CHOOSE(CONTROL!$C$6, $C$13, 100%, $E$13) + CHOOSE(CONTROL!$C$25, 0.0238, 0)</f>
        <v>70.009599999999992</v>
      </c>
      <c r="D695" s="4">
        <f>67.854 * CHOOSE(CONTROL!$C$6, $C$13, 100%, $E$13) + CHOOSE(CONTROL!$C$25, 0, 0)</f>
        <v>67.853999999999999</v>
      </c>
      <c r="E695" s="4">
        <f>395.389017213576 * CHOOSE(CONTROL!$C$6, $C$13, 100%, $E$13) + CHOOSE(CONTROL!$C$25, 0, 0)</f>
        <v>395.38901721357598</v>
      </c>
    </row>
    <row r="696" spans="1:5" ht="15">
      <c r="A696" s="13">
        <v>63067</v>
      </c>
      <c r="B696" s="4">
        <f>71.9365 * CHOOSE(CONTROL!$C$6, $C$13, 100%, $E$13) + CHOOSE(CONTROL!$C$25, 0.0238, 0)</f>
        <v>71.960299999999989</v>
      </c>
      <c r="C696" s="4">
        <f>71.624 * CHOOSE(CONTROL!$C$6, $C$13, 100%, $E$13) + CHOOSE(CONTROL!$C$25, 0.0238, 0)</f>
        <v>71.647799999999989</v>
      </c>
      <c r="D696" s="4">
        <f>67.1438 * CHOOSE(CONTROL!$C$6, $C$13, 100%, $E$13) + CHOOSE(CONTROL!$C$25, 0, 0)</f>
        <v>67.143799999999999</v>
      </c>
      <c r="E696" s="4">
        <f>404.855458048868 * CHOOSE(CONTROL!$C$6, $C$13, 100%, $E$13) + CHOOSE(CONTROL!$C$25, 0, 0)</f>
        <v>404.855458048868</v>
      </c>
    </row>
    <row r="697" spans="1:5" ht="15">
      <c r="A697" s="13">
        <v>63097</v>
      </c>
      <c r="B697" s="4">
        <f>69.1445 * CHOOSE(CONTROL!$C$6, $C$13, 100%, $E$13) + CHOOSE(CONTROL!$C$25, 0.0238, 0)</f>
        <v>69.168299999999988</v>
      </c>
      <c r="C697" s="4">
        <f>68.832 * CHOOSE(CONTROL!$C$6, $C$13, 100%, $E$13) + CHOOSE(CONTROL!$C$25, 0.0238, 0)</f>
        <v>68.855799999999988</v>
      </c>
      <c r="D697" s="4">
        <f>66.8083 * CHOOSE(CONTROL!$C$6, $C$13, 100%, $E$13) + CHOOSE(CONTROL!$C$25, 0, 0)</f>
        <v>66.808300000000003</v>
      </c>
      <c r="E697" s="4">
        <f>388.721623668454 * CHOOSE(CONTROL!$C$6, $C$13, 100%, $E$13) + CHOOSE(CONTROL!$C$25, 0, 0)</f>
        <v>388.72162366845401</v>
      </c>
    </row>
    <row r="698" spans="1:5" ht="15">
      <c r="A698" s="13">
        <v>63128</v>
      </c>
      <c r="B698" s="4">
        <f>66.9094 * CHOOSE(CONTROL!$C$6, $C$13, 100%, $E$13) + CHOOSE(CONTROL!$C$25, 0.0003, 0)</f>
        <v>66.909700000000001</v>
      </c>
      <c r="C698" s="4">
        <f>66.5969 * CHOOSE(CONTROL!$C$6, $C$13, 100%, $E$13) + CHOOSE(CONTROL!$C$25, 0.0003, 0)</f>
        <v>66.597200000000001</v>
      </c>
      <c r="D698" s="4">
        <f>65.9098 * CHOOSE(CONTROL!$C$6, $C$13, 100%, $E$13) + CHOOSE(CONTROL!$C$25, 0, 0)</f>
        <v>65.909800000000004</v>
      </c>
      <c r="E698" s="4">
        <f>375.806169505576 * CHOOSE(CONTROL!$C$6, $C$13, 100%, $E$13) + CHOOSE(CONTROL!$C$25, 0, 0)</f>
        <v>375.80616950557601</v>
      </c>
    </row>
    <row r="699" spans="1:5" ht="15">
      <c r="A699" s="13">
        <v>63158</v>
      </c>
      <c r="B699" s="4">
        <f>65.4699 * CHOOSE(CONTROL!$C$6, $C$13, 100%, $E$13) + CHOOSE(CONTROL!$C$25, 0.0003, 0)</f>
        <v>65.470199999999991</v>
      </c>
      <c r="C699" s="4">
        <f>65.1574 * CHOOSE(CONTROL!$C$6, $C$13, 100%, $E$13) + CHOOSE(CONTROL!$C$25, 0.0003, 0)</f>
        <v>65.157699999999991</v>
      </c>
      <c r="D699" s="4">
        <f>65.6009 * CHOOSE(CONTROL!$C$6, $C$13, 100%, $E$13) + CHOOSE(CONTROL!$C$25, 0, 0)</f>
        <v>65.600899999999996</v>
      </c>
      <c r="E699" s="4">
        <f>367.487652558949 * CHOOSE(CONTROL!$C$6, $C$13, 100%, $E$13) + CHOOSE(CONTROL!$C$25, 0, 0)</f>
        <v>367.48765255894898</v>
      </c>
    </row>
    <row r="700" spans="1:5" ht="15">
      <c r="A700" s="13">
        <v>63189</v>
      </c>
      <c r="B700" s="4">
        <f>64.4739 * CHOOSE(CONTROL!$C$6, $C$13, 100%, $E$13) + CHOOSE(CONTROL!$C$25, 0.0003, 0)</f>
        <v>64.474199999999996</v>
      </c>
      <c r="C700" s="4">
        <f>64.1614 * CHOOSE(CONTROL!$C$6, $C$13, 100%, $E$13) + CHOOSE(CONTROL!$C$25, 0.0003, 0)</f>
        <v>64.161699999999996</v>
      </c>
      <c r="D700" s="4">
        <f>63.3269 * CHOOSE(CONTROL!$C$6, $C$13, 100%, $E$13) + CHOOSE(CONTROL!$C$25, 0, 0)</f>
        <v>63.326900000000002</v>
      </c>
      <c r="E700" s="4">
        <f>361.732308130848 * CHOOSE(CONTROL!$C$6, $C$13, 100%, $E$13) + CHOOSE(CONTROL!$C$25, 0, 0)</f>
        <v>361.73230813084803</v>
      </c>
    </row>
    <row r="701" spans="1:5" ht="15">
      <c r="A701" s="13">
        <v>63220</v>
      </c>
      <c r="B701" s="4">
        <f>62.8557 * CHOOSE(CONTROL!$C$6, $C$13, 100%, $E$13) + CHOOSE(CONTROL!$C$25, 0.0003, 0)</f>
        <v>62.856000000000002</v>
      </c>
      <c r="C701" s="4">
        <f>62.5432 * CHOOSE(CONTROL!$C$6, $C$13, 100%, $E$13) + CHOOSE(CONTROL!$C$25, 0.0003, 0)</f>
        <v>62.543500000000002</v>
      </c>
      <c r="D701" s="4">
        <f>61.2368 * CHOOSE(CONTROL!$C$6, $C$13, 100%, $E$13) + CHOOSE(CONTROL!$C$25, 0, 0)</f>
        <v>61.236800000000002</v>
      </c>
      <c r="E701" s="4">
        <f>351.359203985821 * CHOOSE(CONTROL!$C$6, $C$13, 100%, $E$13) + CHOOSE(CONTROL!$C$25, 0, 0)</f>
        <v>351.35920398582101</v>
      </c>
    </row>
    <row r="702" spans="1:5" ht="15">
      <c r="A702" s="13">
        <v>63248</v>
      </c>
      <c r="B702" s="4">
        <f>64.3036 * CHOOSE(CONTROL!$C$6, $C$13, 100%, $E$13) + CHOOSE(CONTROL!$C$25, 0.0003, 0)</f>
        <v>64.303899999999999</v>
      </c>
      <c r="C702" s="4">
        <f>63.9911 * CHOOSE(CONTROL!$C$6, $C$13, 100%, $E$13) + CHOOSE(CONTROL!$C$25, 0.0003, 0)</f>
        <v>63.991400000000006</v>
      </c>
      <c r="D702" s="4">
        <f>63.3415 * CHOOSE(CONTROL!$C$6, $C$13, 100%, $E$13) + CHOOSE(CONTROL!$C$25, 0, 0)</f>
        <v>63.341500000000003</v>
      </c>
      <c r="E702" s="4">
        <f>359.701856163248 * CHOOSE(CONTROL!$C$6, $C$13, 100%, $E$13) + CHOOSE(CONTROL!$C$25, 0, 0)</f>
        <v>359.70185616324801</v>
      </c>
    </row>
    <row r="703" spans="1:5" ht="15">
      <c r="A703" s="13">
        <v>63279</v>
      </c>
      <c r="B703" s="4">
        <f>68.1059 * CHOOSE(CONTROL!$C$6, $C$13, 100%, $E$13) + CHOOSE(CONTROL!$C$25, 0.0003, 0)</f>
        <v>68.106200000000001</v>
      </c>
      <c r="C703" s="4">
        <f>67.7934 * CHOOSE(CONTROL!$C$6, $C$13, 100%, $E$13) + CHOOSE(CONTROL!$C$25, 0.0003, 0)</f>
        <v>67.793700000000001</v>
      </c>
      <c r="D703" s="4">
        <f>66.6363 * CHOOSE(CONTROL!$C$6, $C$13, 100%, $E$13) + CHOOSE(CONTROL!$C$25, 0, 0)</f>
        <v>66.636300000000006</v>
      </c>
      <c r="E703" s="4">
        <f>381.610104136635 * CHOOSE(CONTROL!$C$6, $C$13, 100%, $E$13) + CHOOSE(CONTROL!$C$25, 0, 0)</f>
        <v>381.61010413663502</v>
      </c>
    </row>
    <row r="704" spans="1:5" ht="15">
      <c r="A704" s="13">
        <v>63309</v>
      </c>
      <c r="B704" s="4">
        <f>70.8075 * CHOOSE(CONTROL!$C$6, $C$13, 100%, $E$13) + CHOOSE(CONTROL!$C$25, 0.0003, 0)</f>
        <v>70.8078</v>
      </c>
      <c r="C704" s="4">
        <f>70.495 * CHOOSE(CONTROL!$C$6, $C$13, 100%, $E$13) + CHOOSE(CONTROL!$C$25, 0.0003, 0)</f>
        <v>70.4953</v>
      </c>
      <c r="D704" s="4">
        <f>68.5341 * CHOOSE(CONTROL!$C$6, $C$13, 100%, $E$13) + CHOOSE(CONTROL!$C$25, 0, 0)</f>
        <v>68.534099999999995</v>
      </c>
      <c r="E704" s="4">
        <f>397.176206287519 * CHOOSE(CONTROL!$C$6, $C$13, 100%, $E$13) + CHOOSE(CONTROL!$C$25, 0, 0)</f>
        <v>397.17620628751899</v>
      </c>
    </row>
    <row r="705" spans="1:5" ht="15">
      <c r="A705" s="13">
        <v>63340</v>
      </c>
      <c r="B705" s="4">
        <f>72.4581 * CHOOSE(CONTROL!$C$6, $C$13, 100%, $E$13) + CHOOSE(CONTROL!$C$25, 0.0238, 0)</f>
        <v>72.481899999999996</v>
      </c>
      <c r="C705" s="4">
        <f>72.1456 * CHOOSE(CONTROL!$C$6, $C$13, 100%, $E$13) + CHOOSE(CONTROL!$C$25, 0.0238, 0)</f>
        <v>72.169399999999996</v>
      </c>
      <c r="D705" s="4">
        <f>67.7842 * CHOOSE(CONTROL!$C$6, $C$13, 100%, $E$13) + CHOOSE(CONTROL!$C$25, 0, 0)</f>
        <v>67.784199999999998</v>
      </c>
      <c r="E705" s="4">
        <f>406.686721634307 * CHOOSE(CONTROL!$C$6, $C$13, 100%, $E$13) + CHOOSE(CONTROL!$C$25, 0, 0)</f>
        <v>406.68672163430699</v>
      </c>
    </row>
    <row r="706" spans="1:5" ht="15">
      <c r="A706" s="13">
        <v>63370</v>
      </c>
      <c r="B706" s="4">
        <f>72.6814 * CHOOSE(CONTROL!$C$6, $C$13, 100%, $E$13) + CHOOSE(CONTROL!$C$25, 0.0238, 0)</f>
        <v>72.705199999999991</v>
      </c>
      <c r="C706" s="4">
        <f>72.3689 * CHOOSE(CONTROL!$C$6, $C$13, 100%, $E$13) + CHOOSE(CONTROL!$C$25, 0.0238, 0)</f>
        <v>72.392699999999991</v>
      </c>
      <c r="D706" s="4">
        <f>68.395 * CHOOSE(CONTROL!$C$6, $C$13, 100%, $E$13) + CHOOSE(CONTROL!$C$25, 0, 0)</f>
        <v>68.394999999999996</v>
      </c>
      <c r="E706" s="4">
        <f>407.973533830177 * CHOOSE(CONTROL!$C$6, $C$13, 100%, $E$13) + CHOOSE(CONTROL!$C$25, 0, 0)</f>
        <v>407.97353383017702</v>
      </c>
    </row>
    <row r="707" spans="1:5" ht="15">
      <c r="A707" s="13">
        <v>63401</v>
      </c>
      <c r="B707" s="4">
        <f>72.6589 * CHOOSE(CONTROL!$C$6, $C$13, 100%, $E$13) + CHOOSE(CONTROL!$C$25, 0.0238, 0)</f>
        <v>72.682699999999997</v>
      </c>
      <c r="C707" s="4">
        <f>72.3464 * CHOOSE(CONTROL!$C$6, $C$13, 100%, $E$13) + CHOOSE(CONTROL!$C$25, 0.0238, 0)</f>
        <v>72.370199999999997</v>
      </c>
      <c r="D707" s="4">
        <f>69.497 * CHOOSE(CONTROL!$C$6, $C$13, 100%, $E$13) + CHOOSE(CONTROL!$C$25, 0, 0)</f>
        <v>69.497</v>
      </c>
      <c r="E707" s="4">
        <f>407.843771255804 * CHOOSE(CONTROL!$C$6, $C$13, 100%, $E$13) + CHOOSE(CONTROL!$C$25, 0, 0)</f>
        <v>407.84377125580397</v>
      </c>
    </row>
    <row r="708" spans="1:5" ht="15">
      <c r="A708" s="13">
        <v>63432</v>
      </c>
      <c r="B708" s="4">
        <f>74.3536 * CHOOSE(CONTROL!$C$6, $C$13, 100%, $E$13) + CHOOSE(CONTROL!$C$25, 0.0238, 0)</f>
        <v>74.377399999999994</v>
      </c>
      <c r="C708" s="4">
        <f>74.0411 * CHOOSE(CONTROL!$C$6, $C$13, 100%, $E$13) + CHOOSE(CONTROL!$C$25, 0.0238, 0)</f>
        <v>74.064899999999994</v>
      </c>
      <c r="D708" s="4">
        <f>68.7692 * CHOOSE(CONTROL!$C$6, $C$13, 100%, $E$13) + CHOOSE(CONTROL!$C$25, 0, 0)</f>
        <v>68.769199999999998</v>
      </c>
      <c r="E708" s="4">
        <f>417.608404977407 * CHOOSE(CONTROL!$C$6, $C$13, 100%, $E$13) + CHOOSE(CONTROL!$C$25, 0, 0)</f>
        <v>417.60840497740702</v>
      </c>
    </row>
    <row r="709" spans="1:5" ht="15">
      <c r="A709" s="13">
        <v>63462</v>
      </c>
      <c r="B709" s="4">
        <f>71.4653 * CHOOSE(CONTROL!$C$6, $C$13, 100%, $E$13) + CHOOSE(CONTROL!$C$25, 0.0238, 0)</f>
        <v>71.489099999999993</v>
      </c>
      <c r="C709" s="4">
        <f>71.1528 * CHOOSE(CONTROL!$C$6, $C$13, 100%, $E$13) + CHOOSE(CONTROL!$C$25, 0.0238, 0)</f>
        <v>71.176599999999993</v>
      </c>
      <c r="D709" s="4">
        <f>68.4253 * CHOOSE(CONTROL!$C$6, $C$13, 100%, $E$13) + CHOOSE(CONTROL!$C$25, 0, 0)</f>
        <v>68.425299999999993</v>
      </c>
      <c r="E709" s="4">
        <f>400.96635481401 * CHOOSE(CONTROL!$C$6, $C$13, 100%, $E$13) + CHOOSE(CONTROL!$C$25, 0, 0)</f>
        <v>400.96635481401</v>
      </c>
    </row>
    <row r="710" spans="1:5" ht="15">
      <c r="A710" s="13">
        <v>63493</v>
      </c>
      <c r="B710" s="4">
        <f>69.1531 * CHOOSE(CONTROL!$C$6, $C$13, 100%, $E$13) + CHOOSE(CONTROL!$C$25, 0.0003, 0)</f>
        <v>69.153399999999991</v>
      </c>
      <c r="C710" s="4">
        <f>68.8406 * CHOOSE(CONTROL!$C$6, $C$13, 100%, $E$13) + CHOOSE(CONTROL!$C$25, 0.0003, 0)</f>
        <v>68.840899999999991</v>
      </c>
      <c r="D710" s="4">
        <f>67.5046 * CHOOSE(CONTROL!$C$6, $C$13, 100%, $E$13) + CHOOSE(CONTROL!$C$25, 0, 0)</f>
        <v>67.504599999999996</v>
      </c>
      <c r="E710" s="4">
        <f>387.644063845001 * CHOOSE(CONTROL!$C$6, $C$13, 100%, $E$13) + CHOOSE(CONTROL!$C$25, 0, 0)</f>
        <v>387.64406384500103</v>
      </c>
    </row>
    <row r="711" spans="1:5" ht="15">
      <c r="A711" s="13">
        <v>63523</v>
      </c>
      <c r="B711" s="4">
        <f>67.6639 * CHOOSE(CONTROL!$C$6, $C$13, 100%, $E$13) + CHOOSE(CONTROL!$C$25, 0.0003, 0)</f>
        <v>67.664199999999994</v>
      </c>
      <c r="C711" s="4">
        <f>67.3514 * CHOOSE(CONTROL!$C$6, $C$13, 100%, $E$13) + CHOOSE(CONTROL!$C$25, 0.0003, 0)</f>
        <v>67.351699999999994</v>
      </c>
      <c r="D711" s="4">
        <f>67.1881 * CHOOSE(CONTROL!$C$6, $C$13, 100%, $E$13) + CHOOSE(CONTROL!$C$25, 0, 0)</f>
        <v>67.188100000000006</v>
      </c>
      <c r="E711" s="4">
        <f>379.063513614556 * CHOOSE(CONTROL!$C$6, $C$13, 100%, $E$13) + CHOOSE(CONTROL!$C$25, 0, 0)</f>
        <v>379.06351361455597</v>
      </c>
    </row>
    <row r="712" spans="1:5" ht="15">
      <c r="A712" s="13">
        <v>63554</v>
      </c>
      <c r="B712" s="4">
        <f>66.6336 * CHOOSE(CONTROL!$C$6, $C$13, 100%, $E$13) + CHOOSE(CONTROL!$C$25, 0.0003, 0)</f>
        <v>66.633899999999997</v>
      </c>
      <c r="C712" s="4">
        <f>66.3211 * CHOOSE(CONTROL!$C$6, $C$13, 100%, $E$13) + CHOOSE(CONTROL!$C$25, 0.0003, 0)</f>
        <v>66.321399999999997</v>
      </c>
      <c r="D712" s="4">
        <f>64.8576 * CHOOSE(CONTROL!$C$6, $C$13, 100%, $E$13) + CHOOSE(CONTROL!$C$25, 0, 0)</f>
        <v>64.857600000000005</v>
      </c>
      <c r="E712" s="4">
        <f>373.12687583697 * CHOOSE(CONTROL!$C$6, $C$13, 100%, $E$13) + CHOOSE(CONTROL!$C$25, 0, 0)</f>
        <v>373.12687583696999</v>
      </c>
    </row>
    <row r="713" spans="1:5" ht="15">
      <c r="A713" s="13">
        <v>63585</v>
      </c>
      <c r="B713" s="4">
        <f>64.9595 * CHOOSE(CONTROL!$C$6, $C$13, 100%, $E$13) + CHOOSE(CONTROL!$C$25, 0.0003, 0)</f>
        <v>64.959800000000001</v>
      </c>
      <c r="C713" s="4">
        <f>64.647 * CHOOSE(CONTROL!$C$6, $C$13, 100%, $E$13) + CHOOSE(CONTROL!$C$25, 0.0003, 0)</f>
        <v>64.647300000000001</v>
      </c>
      <c r="D713" s="4">
        <f>62.7157 * CHOOSE(CONTROL!$C$6, $C$13, 100%, $E$13) + CHOOSE(CONTROL!$C$25, 0, 0)</f>
        <v>62.715699999999998</v>
      </c>
      <c r="E713" s="4">
        <f>362.427018911374 * CHOOSE(CONTROL!$C$6, $C$13, 100%, $E$13) + CHOOSE(CONTROL!$C$25, 0, 0)</f>
        <v>362.42701891137398</v>
      </c>
    </row>
    <row r="714" spans="1:5" ht="15">
      <c r="A714" s="13">
        <v>63613</v>
      </c>
      <c r="B714" s="4">
        <f>66.4574 * CHOOSE(CONTROL!$C$6, $C$13, 100%, $E$13) + CHOOSE(CONTROL!$C$25, 0.0003, 0)</f>
        <v>66.457700000000003</v>
      </c>
      <c r="C714" s="4">
        <f>66.1449 * CHOOSE(CONTROL!$C$6, $C$13, 100%, $E$13) + CHOOSE(CONTROL!$C$25, 0.0003, 0)</f>
        <v>66.145200000000003</v>
      </c>
      <c r="D714" s="4">
        <f>64.8726 * CHOOSE(CONTROL!$C$6, $C$13, 100%, $E$13) + CHOOSE(CONTROL!$C$25, 0, 0)</f>
        <v>64.872600000000006</v>
      </c>
      <c r="E714" s="4">
        <f>371.032464632391 * CHOOSE(CONTROL!$C$6, $C$13, 100%, $E$13) + CHOOSE(CONTROL!$C$25, 0, 0)</f>
        <v>371.032464632391</v>
      </c>
    </row>
    <row r="715" spans="1:5" ht="15">
      <c r="A715" s="13">
        <v>63644</v>
      </c>
      <c r="B715" s="4">
        <f>70.3909 * CHOOSE(CONTROL!$C$6, $C$13, 100%, $E$13) + CHOOSE(CONTROL!$C$25, 0.0003, 0)</f>
        <v>70.391199999999998</v>
      </c>
      <c r="C715" s="4">
        <f>70.0784 * CHOOSE(CONTROL!$C$6, $C$13, 100%, $E$13) + CHOOSE(CONTROL!$C$25, 0.0003, 0)</f>
        <v>70.078699999999998</v>
      </c>
      <c r="D715" s="4">
        <f>68.2491 * CHOOSE(CONTROL!$C$6, $C$13, 100%, $E$13) + CHOOSE(CONTROL!$C$25, 0, 0)</f>
        <v>68.249099999999999</v>
      </c>
      <c r="E715" s="4">
        <f>393.630822416939 * CHOOSE(CONTROL!$C$6, $C$13, 100%, $E$13) + CHOOSE(CONTROL!$C$25, 0, 0)</f>
        <v>393.630822416939</v>
      </c>
    </row>
    <row r="716" spans="1:5" ht="15">
      <c r="A716" s="13">
        <v>63674</v>
      </c>
      <c r="B716" s="4">
        <f>73.1857 * CHOOSE(CONTROL!$C$6, $C$13, 100%, $E$13) + CHOOSE(CONTROL!$C$25, 0.0003, 0)</f>
        <v>73.185999999999993</v>
      </c>
      <c r="C716" s="4">
        <f>72.8732 * CHOOSE(CONTROL!$C$6, $C$13, 100%, $E$13) + CHOOSE(CONTROL!$C$25, 0.0003, 0)</f>
        <v>72.873499999999993</v>
      </c>
      <c r="D716" s="4">
        <f>70.194 * CHOOSE(CONTROL!$C$6, $C$13, 100%, $E$13) + CHOOSE(CONTROL!$C$25, 0, 0)</f>
        <v>70.194000000000003</v>
      </c>
      <c r="E716" s="4">
        <f>409.687256785576 * CHOOSE(CONTROL!$C$6, $C$13, 100%, $E$13) + CHOOSE(CONTROL!$C$25, 0, 0)</f>
        <v>409.68725678557598</v>
      </c>
    </row>
    <row r="717" spans="1:5" ht="15">
      <c r="A717" s="13">
        <v>63705</v>
      </c>
      <c r="B717" s="4">
        <f>74.8932 * CHOOSE(CONTROL!$C$6, $C$13, 100%, $E$13) + CHOOSE(CONTROL!$C$25, 0.0238, 0)</f>
        <v>74.916999999999987</v>
      </c>
      <c r="C717" s="4">
        <f>74.5807 * CHOOSE(CONTROL!$C$6, $C$13, 100%, $E$13) + CHOOSE(CONTROL!$C$25, 0.0238, 0)</f>
        <v>74.604499999999987</v>
      </c>
      <c r="D717" s="4">
        <f>69.4255 * CHOOSE(CONTROL!$C$6, $C$13, 100%, $E$13) + CHOOSE(CONTROL!$C$25, 0, 0)</f>
        <v>69.4255</v>
      </c>
      <c r="E717" s="4">
        <f>419.497353365788 * CHOOSE(CONTROL!$C$6, $C$13, 100%, $E$13) + CHOOSE(CONTROL!$C$25, 0, 0)</f>
        <v>419.497353365788</v>
      </c>
    </row>
    <row r="718" spans="1:5" ht="15">
      <c r="A718" s="13">
        <v>63735</v>
      </c>
      <c r="B718" s="4">
        <f>75.1243 * CHOOSE(CONTROL!$C$6, $C$13, 100%, $E$13) + CHOOSE(CONTROL!$C$25, 0.0238, 0)</f>
        <v>75.148099999999999</v>
      </c>
      <c r="C718" s="4">
        <f>74.8118 * CHOOSE(CONTROL!$C$6, $C$13, 100%, $E$13) + CHOOSE(CONTROL!$C$25, 0.0238, 0)</f>
        <v>74.835599999999999</v>
      </c>
      <c r="D718" s="4">
        <f>70.0514 * CHOOSE(CONTROL!$C$6, $C$13, 100%, $E$13) + CHOOSE(CONTROL!$C$25, 0, 0)</f>
        <v>70.051400000000001</v>
      </c>
      <c r="E718" s="4">
        <f>420.824700145828 * CHOOSE(CONTROL!$C$6, $C$13, 100%, $E$13) + CHOOSE(CONTROL!$C$25, 0, 0)</f>
        <v>420.82470014582799</v>
      </c>
    </row>
    <row r="719" spans="1:5" ht="15">
      <c r="A719" s="13">
        <v>63766</v>
      </c>
      <c r="B719" s="4">
        <f>75.101 * CHOOSE(CONTROL!$C$6, $C$13, 100%, $E$13) + CHOOSE(CONTROL!$C$25, 0.0238, 0)</f>
        <v>75.124799999999993</v>
      </c>
      <c r="C719" s="4">
        <f>74.7885 * CHOOSE(CONTROL!$C$6, $C$13, 100%, $E$13) + CHOOSE(CONTROL!$C$25, 0.0238, 0)</f>
        <v>74.812299999999993</v>
      </c>
      <c r="D719" s="4">
        <f>71.1808 * CHOOSE(CONTROL!$C$6, $C$13, 100%, $E$13) + CHOOSE(CONTROL!$C$25, 0, 0)</f>
        <v>71.180800000000005</v>
      </c>
      <c r="E719" s="4">
        <f>420.690850050362 * CHOOSE(CONTROL!$C$6, $C$13, 100%, $E$13) + CHOOSE(CONTROL!$C$25, 0, 0)</f>
        <v>420.69085005036197</v>
      </c>
    </row>
    <row r="720" spans="1:5" ht="15">
      <c r="A720" s="13">
        <v>63797</v>
      </c>
      <c r="B720" s="4">
        <f>76.8542 * CHOOSE(CONTROL!$C$6, $C$13, 100%, $E$13) + CHOOSE(CONTROL!$C$25, 0.0238, 0)</f>
        <v>76.878</v>
      </c>
      <c r="C720" s="4">
        <f>76.5417 * CHOOSE(CONTROL!$C$6, $C$13, 100%, $E$13) + CHOOSE(CONTROL!$C$25, 0.0238, 0)</f>
        <v>76.5655</v>
      </c>
      <c r="D720" s="4">
        <f>70.4349 * CHOOSE(CONTROL!$C$6, $C$13, 100%, $E$13) + CHOOSE(CONTROL!$C$25, 0, 0)</f>
        <v>70.434899999999999</v>
      </c>
      <c r="E720" s="4">
        <f>430.763069734196 * CHOOSE(CONTROL!$C$6, $C$13, 100%, $E$13) + CHOOSE(CONTROL!$C$25, 0, 0)</f>
        <v>430.76306973419599</v>
      </c>
    </row>
    <row r="721" spans="1:5" ht="15">
      <c r="A721" s="13">
        <v>63827</v>
      </c>
      <c r="B721" s="4">
        <f>73.8662 * CHOOSE(CONTROL!$C$6, $C$13, 100%, $E$13) + CHOOSE(CONTROL!$C$25, 0.0238, 0)</f>
        <v>73.89</v>
      </c>
      <c r="C721" s="4">
        <f>73.5537 * CHOOSE(CONTROL!$C$6, $C$13, 100%, $E$13) + CHOOSE(CONTROL!$C$25, 0.0238, 0)</f>
        <v>73.577500000000001</v>
      </c>
      <c r="D721" s="4">
        <f>70.0825 * CHOOSE(CONTROL!$C$6, $C$13, 100%, $E$13) + CHOOSE(CONTROL!$C$25, 0, 0)</f>
        <v>70.082499999999996</v>
      </c>
      <c r="E721" s="4">
        <f>413.596794990652 * CHOOSE(CONTROL!$C$6, $C$13, 100%, $E$13) + CHOOSE(CONTROL!$C$25, 0, 0)</f>
        <v>413.59679499065197</v>
      </c>
    </row>
    <row r="722" spans="1:5" ht="15">
      <c r="A722" s="13">
        <v>63858</v>
      </c>
      <c r="B722" s="4">
        <f>71.4742 * CHOOSE(CONTROL!$C$6, $C$13, 100%, $E$13) + CHOOSE(CONTROL!$C$25, 0.0003, 0)</f>
        <v>71.474499999999992</v>
      </c>
      <c r="C722" s="4">
        <f>71.1617 * CHOOSE(CONTROL!$C$6, $C$13, 100%, $E$13) + CHOOSE(CONTROL!$C$25, 0.0003, 0)</f>
        <v>71.161999999999992</v>
      </c>
      <c r="D722" s="4">
        <f>69.139 * CHOOSE(CONTROL!$C$6, $C$13, 100%, $E$13) + CHOOSE(CONTROL!$C$25, 0, 0)</f>
        <v>69.138999999999996</v>
      </c>
      <c r="E722" s="4">
        <f>399.854851856119 * CHOOSE(CONTROL!$C$6, $C$13, 100%, $E$13) + CHOOSE(CONTROL!$C$25, 0, 0)</f>
        <v>399.85485185611901</v>
      </c>
    </row>
    <row r="723" spans="1:5" ht="15">
      <c r="A723" s="13">
        <v>63888</v>
      </c>
      <c r="B723" s="4">
        <f>69.9336 * CHOOSE(CONTROL!$C$6, $C$13, 100%, $E$13) + CHOOSE(CONTROL!$C$25, 0.0003, 0)</f>
        <v>69.933899999999994</v>
      </c>
      <c r="C723" s="4">
        <f>69.6211 * CHOOSE(CONTROL!$C$6, $C$13, 100%, $E$13) + CHOOSE(CONTROL!$C$25, 0.0003, 0)</f>
        <v>69.621399999999994</v>
      </c>
      <c r="D723" s="4">
        <f>68.8146 * CHOOSE(CONTROL!$C$6, $C$13, 100%, $E$13) + CHOOSE(CONTROL!$C$25, 0, 0)</f>
        <v>68.814599999999999</v>
      </c>
      <c r="E723" s="4">
        <f>391.004014293414 * CHOOSE(CONTROL!$C$6, $C$13, 100%, $E$13) + CHOOSE(CONTROL!$C$25, 0, 0)</f>
        <v>391.004014293414</v>
      </c>
    </row>
    <row r="724" spans="1:5" ht="15">
      <c r="A724" s="13">
        <v>63919</v>
      </c>
      <c r="B724" s="4">
        <f>68.8678 * CHOOSE(CONTROL!$C$6, $C$13, 100%, $E$13) + CHOOSE(CONTROL!$C$25, 0.0003, 0)</f>
        <v>68.868099999999998</v>
      </c>
      <c r="C724" s="4">
        <f>68.5553 * CHOOSE(CONTROL!$C$6, $C$13, 100%, $E$13) + CHOOSE(CONTROL!$C$25, 0.0003, 0)</f>
        <v>68.555599999999998</v>
      </c>
      <c r="D724" s="4">
        <f>66.4263 * CHOOSE(CONTROL!$C$6, $C$13, 100%, $E$13) + CHOOSE(CONTROL!$C$25, 0, 0)</f>
        <v>66.426299999999998</v>
      </c>
      <c r="E724" s="4">
        <f>384.880372425834 * CHOOSE(CONTROL!$C$6, $C$13, 100%, $E$13) + CHOOSE(CONTROL!$C$25, 0, 0)</f>
        <v>384.88037242583403</v>
      </c>
    </row>
    <row r="725" spans="1:5" ht="15">
      <c r="A725" s="13">
        <v>63950</v>
      </c>
      <c r="B725" s="4">
        <f>67.1359 * CHOOSE(CONTROL!$C$6, $C$13, 100%, $E$13) + CHOOSE(CONTROL!$C$25, 0.0003, 0)</f>
        <v>67.136200000000002</v>
      </c>
      <c r="C725" s="4">
        <f>66.8234 * CHOOSE(CONTROL!$C$6, $C$13, 100%, $E$13) + CHOOSE(CONTROL!$C$25, 0.0003, 0)</f>
        <v>66.823700000000002</v>
      </c>
      <c r="D725" s="4">
        <f>64.2313 * CHOOSE(CONTROL!$C$6, $C$13, 100%, $E$13) + CHOOSE(CONTROL!$C$25, 0, 0)</f>
        <v>64.231300000000005</v>
      </c>
      <c r="E725" s="4">
        <f>373.843470007082 * CHOOSE(CONTROL!$C$6, $C$13, 100%, $E$13) + CHOOSE(CONTROL!$C$25, 0, 0)</f>
        <v>373.84347000708198</v>
      </c>
    </row>
    <row r="726" spans="1:5" ht="15">
      <c r="A726" s="13">
        <v>63978</v>
      </c>
      <c r="B726" s="4">
        <f>68.6855 * CHOOSE(CONTROL!$C$6, $C$13, 100%, $E$13) + CHOOSE(CONTROL!$C$25, 0.0003, 0)</f>
        <v>68.6858</v>
      </c>
      <c r="C726" s="4">
        <f>68.373 * CHOOSE(CONTROL!$C$6, $C$13, 100%, $E$13) + CHOOSE(CONTROL!$C$25, 0.0003, 0)</f>
        <v>68.3733</v>
      </c>
      <c r="D726" s="4">
        <f>66.4417 * CHOOSE(CONTROL!$C$6, $C$13, 100%, $E$13) + CHOOSE(CONTROL!$C$25, 0, 0)</f>
        <v>66.441699999999997</v>
      </c>
      <c r="E726" s="4">
        <f>382.719987268311 * CHOOSE(CONTROL!$C$6, $C$13, 100%, $E$13) + CHOOSE(CONTROL!$C$25, 0, 0)</f>
        <v>382.719987268311</v>
      </c>
    </row>
    <row r="727" spans="1:5" ht="15">
      <c r="A727" s="13">
        <v>64009</v>
      </c>
      <c r="B727" s="4">
        <f>72.7547 * CHOOSE(CONTROL!$C$6, $C$13, 100%, $E$13) + CHOOSE(CONTROL!$C$25, 0.0003, 0)</f>
        <v>72.754999999999995</v>
      </c>
      <c r="C727" s="4">
        <f>72.4422 * CHOOSE(CONTROL!$C$6, $C$13, 100%, $E$13) + CHOOSE(CONTROL!$C$25, 0.0003, 0)</f>
        <v>72.442499999999995</v>
      </c>
      <c r="D727" s="4">
        <f>69.9019 * CHOOSE(CONTROL!$C$6, $C$13, 100%, $E$13) + CHOOSE(CONTROL!$C$25, 0, 0)</f>
        <v>69.901899999999998</v>
      </c>
      <c r="E727" s="4">
        <f>406.030193323073 * CHOOSE(CONTROL!$C$6, $C$13, 100%, $E$13) + CHOOSE(CONTROL!$C$25, 0, 0)</f>
        <v>406.03019332307298</v>
      </c>
    </row>
    <row r="728" spans="1:5" ht="15">
      <c r="A728" s="13">
        <v>64039</v>
      </c>
      <c r="B728" s="4">
        <f>75.6459 * CHOOSE(CONTROL!$C$6, $C$13, 100%, $E$13) + CHOOSE(CONTROL!$C$25, 0.0003, 0)</f>
        <v>75.646199999999993</v>
      </c>
      <c r="C728" s="4">
        <f>75.3334 * CHOOSE(CONTROL!$C$6, $C$13, 100%, $E$13) + CHOOSE(CONTROL!$C$25, 0.0003, 0)</f>
        <v>75.333699999999993</v>
      </c>
      <c r="D728" s="4">
        <f>71.8951 * CHOOSE(CONTROL!$C$6, $C$13, 100%, $E$13) + CHOOSE(CONTROL!$C$25, 0, 0)</f>
        <v>71.895099999999999</v>
      </c>
      <c r="E728" s="4">
        <f>422.592405374321 * CHOOSE(CONTROL!$C$6, $C$13, 100%, $E$13) + CHOOSE(CONTROL!$C$25, 0, 0)</f>
        <v>422.592405374321</v>
      </c>
    </row>
    <row r="729" spans="1:5" ht="15">
      <c r="A729" s="13">
        <v>64070</v>
      </c>
      <c r="B729" s="4">
        <f>77.4124 * CHOOSE(CONTROL!$C$6, $C$13, 100%, $E$13) + CHOOSE(CONTROL!$C$25, 0.0238, 0)</f>
        <v>77.436199999999999</v>
      </c>
      <c r="C729" s="4">
        <f>77.0999 * CHOOSE(CONTROL!$C$6, $C$13, 100%, $E$13) + CHOOSE(CONTROL!$C$25, 0.0238, 0)</f>
        <v>77.123699999999999</v>
      </c>
      <c r="D729" s="4">
        <f>71.1075 * CHOOSE(CONTROL!$C$6, $C$13, 100%, $E$13) + CHOOSE(CONTROL!$C$25, 0, 0)</f>
        <v>71.107500000000002</v>
      </c>
      <c r="E729" s="4">
        <f>432.71151999681 * CHOOSE(CONTROL!$C$6, $C$13, 100%, $E$13) + CHOOSE(CONTROL!$C$25, 0, 0)</f>
        <v>432.71151999681001</v>
      </c>
    </row>
    <row r="730" spans="1:5" ht="15">
      <c r="A730" s="13">
        <v>64100</v>
      </c>
      <c r="B730" s="4">
        <f>77.6514 * CHOOSE(CONTROL!$C$6, $C$13, 100%, $E$13) + CHOOSE(CONTROL!$C$25, 0.0238, 0)</f>
        <v>77.67519999999999</v>
      </c>
      <c r="C730" s="4">
        <f>77.3389 * CHOOSE(CONTROL!$C$6, $C$13, 100%, $E$13) + CHOOSE(CONTROL!$C$25, 0.0238, 0)</f>
        <v>77.36269999999999</v>
      </c>
      <c r="D730" s="4">
        <f>71.7489 * CHOOSE(CONTROL!$C$6, $C$13, 100%, $E$13) + CHOOSE(CONTROL!$C$25, 0, 0)</f>
        <v>71.748900000000006</v>
      </c>
      <c r="E730" s="4">
        <f>434.080678200422 * CHOOSE(CONTROL!$C$6, $C$13, 100%, $E$13) + CHOOSE(CONTROL!$C$25, 0, 0)</f>
        <v>434.08067820042203</v>
      </c>
    </row>
    <row r="731" spans="1:5" ht="15">
      <c r="A731" s="13">
        <v>64131</v>
      </c>
      <c r="B731" s="4">
        <f>77.6273 * CHOOSE(CONTROL!$C$6, $C$13, 100%, $E$13) + CHOOSE(CONTROL!$C$25, 0.0238, 0)</f>
        <v>77.6511</v>
      </c>
      <c r="C731" s="4">
        <f>77.3148 * CHOOSE(CONTROL!$C$6, $C$13, 100%, $E$13) + CHOOSE(CONTROL!$C$25, 0.0238, 0)</f>
        <v>77.3386</v>
      </c>
      <c r="D731" s="4">
        <f>72.9063 * CHOOSE(CONTROL!$C$6, $C$13, 100%, $E$13) + CHOOSE(CONTROL!$C$25, 0, 0)</f>
        <v>72.906300000000002</v>
      </c>
      <c r="E731" s="4">
        <f>433.942611826948 * CHOOSE(CONTROL!$C$6, $C$13, 100%, $E$13) + CHOOSE(CONTROL!$C$25, 0, 0)</f>
        <v>433.942611826948</v>
      </c>
    </row>
    <row r="732" spans="1:5" ht="15">
      <c r="A732" s="13">
        <v>64162</v>
      </c>
      <c r="B732" s="4">
        <f>79.4409 * CHOOSE(CONTROL!$C$6, $C$13, 100%, $E$13) + CHOOSE(CONTROL!$C$25, 0.0238, 0)</f>
        <v>79.464699999999993</v>
      </c>
      <c r="C732" s="4">
        <f>79.1284 * CHOOSE(CONTROL!$C$6, $C$13, 100%, $E$13) + CHOOSE(CONTROL!$C$25, 0.0238, 0)</f>
        <v>79.152199999999993</v>
      </c>
      <c r="D732" s="4">
        <f>72.142 * CHOOSE(CONTROL!$C$6, $C$13, 100%, $E$13) + CHOOSE(CONTROL!$C$25, 0, 0)</f>
        <v>72.141999999999996</v>
      </c>
      <c r="E732" s="4">
        <f>444.332106430823 * CHOOSE(CONTROL!$C$6, $C$13, 100%, $E$13) + CHOOSE(CONTROL!$C$25, 0, 0)</f>
        <v>444.33210643082299</v>
      </c>
    </row>
    <row r="733" spans="1:5" ht="15">
      <c r="A733" s="13">
        <v>64192</v>
      </c>
      <c r="B733" s="4">
        <f>76.3499 * CHOOSE(CONTROL!$C$6, $C$13, 100%, $E$13) + CHOOSE(CONTROL!$C$25, 0.0238, 0)</f>
        <v>76.373699999999999</v>
      </c>
      <c r="C733" s="4">
        <f>76.0374 * CHOOSE(CONTROL!$C$6, $C$13, 100%, $E$13) + CHOOSE(CONTROL!$C$25, 0.0238, 0)</f>
        <v>76.061199999999999</v>
      </c>
      <c r="D733" s="4">
        <f>71.7808 * CHOOSE(CONTROL!$C$6, $C$13, 100%, $E$13) + CHOOSE(CONTROL!$C$25, 0, 0)</f>
        <v>71.780799999999999</v>
      </c>
      <c r="E733" s="4">
        <f>426.625094032857 * CHOOSE(CONTROL!$C$6, $C$13, 100%, $E$13) + CHOOSE(CONTROL!$C$25, 0, 0)</f>
        <v>426.62509403285702</v>
      </c>
    </row>
    <row r="734" spans="1:5" ht="15">
      <c r="A734" s="13">
        <v>64223</v>
      </c>
      <c r="B734" s="4">
        <f>73.8754 * CHOOSE(CONTROL!$C$6, $C$13, 100%, $E$13) + CHOOSE(CONTROL!$C$25, 0.0003, 0)</f>
        <v>73.875699999999995</v>
      </c>
      <c r="C734" s="4">
        <f>73.5629 * CHOOSE(CONTROL!$C$6, $C$13, 100%, $E$13) + CHOOSE(CONTROL!$C$25, 0.0003, 0)</f>
        <v>73.563199999999995</v>
      </c>
      <c r="D734" s="4">
        <f>70.8138 * CHOOSE(CONTROL!$C$6, $C$13, 100%, $E$13) + CHOOSE(CONTROL!$C$25, 0, 0)</f>
        <v>70.813800000000001</v>
      </c>
      <c r="E734" s="4">
        <f>412.450279689586 * CHOOSE(CONTROL!$C$6, $C$13, 100%, $E$13) + CHOOSE(CONTROL!$C$25, 0, 0)</f>
        <v>412.45027968958601</v>
      </c>
    </row>
    <row r="735" spans="1:5" ht="15">
      <c r="A735" s="13">
        <v>64253</v>
      </c>
      <c r="B735" s="4">
        <f>72.2817 * CHOOSE(CONTROL!$C$6, $C$13, 100%, $E$13) + CHOOSE(CONTROL!$C$25, 0.0003, 0)</f>
        <v>72.281999999999996</v>
      </c>
      <c r="C735" s="4">
        <f>71.9692 * CHOOSE(CONTROL!$C$6, $C$13, 100%, $E$13) + CHOOSE(CONTROL!$C$25, 0.0003, 0)</f>
        <v>71.969499999999996</v>
      </c>
      <c r="D735" s="4">
        <f>70.4814 * CHOOSE(CONTROL!$C$6, $C$13, 100%, $E$13) + CHOOSE(CONTROL!$C$25, 0, 0)</f>
        <v>70.481399999999994</v>
      </c>
      <c r="E735" s="4">
        <f>403.320640743657 * CHOOSE(CONTROL!$C$6, $C$13, 100%, $E$13) + CHOOSE(CONTROL!$C$25, 0, 0)</f>
        <v>403.32064074365701</v>
      </c>
    </row>
    <row r="736" spans="1:5" ht="15">
      <c r="A736" s="13">
        <v>64284</v>
      </c>
      <c r="B736" s="4">
        <f>71.179 * CHOOSE(CONTROL!$C$6, $C$13, 100%, $E$13) + CHOOSE(CONTROL!$C$25, 0.0003, 0)</f>
        <v>71.179299999999998</v>
      </c>
      <c r="C736" s="4">
        <f>70.8665 * CHOOSE(CONTROL!$C$6, $C$13, 100%, $E$13) + CHOOSE(CONTROL!$C$25, 0.0003, 0)</f>
        <v>70.866799999999998</v>
      </c>
      <c r="D736" s="4">
        <f>68.0339 * CHOOSE(CONTROL!$C$6, $C$13, 100%, $E$13) + CHOOSE(CONTROL!$C$25, 0, 0)</f>
        <v>68.033900000000003</v>
      </c>
      <c r="E736" s="4">
        <f>397.004104157248 * CHOOSE(CONTROL!$C$6, $C$13, 100%, $E$13) + CHOOSE(CONTROL!$C$25, 0, 0)</f>
        <v>397.00410415724798</v>
      </c>
    </row>
    <row r="737" spans="1:5" ht="15">
      <c r="A737" s="13">
        <v>64315</v>
      </c>
      <c r="B737" s="4">
        <f>69.3874 * CHOOSE(CONTROL!$C$6, $C$13, 100%, $E$13) + CHOOSE(CONTROL!$C$25, 0.0003, 0)</f>
        <v>69.387699999999995</v>
      </c>
      <c r="C737" s="4">
        <f>69.0749 * CHOOSE(CONTROL!$C$6, $C$13, 100%, $E$13) + CHOOSE(CONTROL!$C$25, 0.0003, 0)</f>
        <v>69.075199999999995</v>
      </c>
      <c r="D737" s="4">
        <f>65.7845 * CHOOSE(CONTROL!$C$6, $C$13, 100%, $E$13) + CHOOSE(CONTROL!$C$25, 0, 0)</f>
        <v>65.784499999999994</v>
      </c>
      <c r="E737" s="4">
        <f>385.619539312306 * CHOOSE(CONTROL!$C$6, $C$13, 100%, $E$13) + CHOOSE(CONTROL!$C$25, 0, 0)</f>
        <v>385.61953931230602</v>
      </c>
    </row>
    <row r="738" spans="1:5" ht="15">
      <c r="A738" s="13">
        <v>64344</v>
      </c>
      <c r="B738" s="4">
        <f>70.9904 * CHOOSE(CONTROL!$C$6, $C$13, 100%, $E$13) + CHOOSE(CONTROL!$C$25, 0.0003, 0)</f>
        <v>70.99069999999999</v>
      </c>
      <c r="C738" s="4">
        <f>70.6779 * CHOOSE(CONTROL!$C$6, $C$13, 100%, $E$13) + CHOOSE(CONTROL!$C$25, 0.0003, 0)</f>
        <v>70.67819999999999</v>
      </c>
      <c r="D738" s="4">
        <f>68.0497 * CHOOSE(CONTROL!$C$6, $C$13, 100%, $E$13) + CHOOSE(CONTROL!$C$25, 0, 0)</f>
        <v>68.049700000000001</v>
      </c>
      <c r="E738" s="4">
        <f>394.775666867263 * CHOOSE(CONTROL!$C$6, $C$13, 100%, $E$13) + CHOOSE(CONTROL!$C$25, 0, 0)</f>
        <v>394.775666867263</v>
      </c>
    </row>
    <row r="739" spans="1:5" ht="15">
      <c r="A739" s="13">
        <v>64375</v>
      </c>
      <c r="B739" s="4">
        <f>75.2 * CHOOSE(CONTROL!$C$6, $C$13, 100%, $E$13) + CHOOSE(CONTROL!$C$25, 0.0003, 0)</f>
        <v>75.200299999999999</v>
      </c>
      <c r="C739" s="4">
        <f>74.8875 * CHOOSE(CONTROL!$C$6, $C$13, 100%, $E$13) + CHOOSE(CONTROL!$C$25, 0.0003, 0)</f>
        <v>74.887799999999999</v>
      </c>
      <c r="D739" s="4">
        <f>71.5957 * CHOOSE(CONTROL!$C$6, $C$13, 100%, $E$13) + CHOOSE(CONTROL!$C$25, 0, 0)</f>
        <v>71.595699999999994</v>
      </c>
      <c r="E739" s="4">
        <f>418.820144412749 * CHOOSE(CONTROL!$C$6, $C$13, 100%, $E$13) + CHOOSE(CONTROL!$C$25, 0, 0)</f>
        <v>418.82014441274902</v>
      </c>
    </row>
    <row r="740" spans="1:5" ht="15">
      <c r="A740" s="13">
        <v>64405</v>
      </c>
      <c r="B740" s="4">
        <f>78.191 * CHOOSE(CONTROL!$C$6, $C$13, 100%, $E$13) + CHOOSE(CONTROL!$C$25, 0.0003, 0)</f>
        <v>78.191299999999998</v>
      </c>
      <c r="C740" s="4">
        <f>77.8785 * CHOOSE(CONTROL!$C$6, $C$13, 100%, $E$13) + CHOOSE(CONTROL!$C$25, 0.0003, 0)</f>
        <v>77.878799999999998</v>
      </c>
      <c r="D740" s="4">
        <f>73.6383 * CHOOSE(CONTROL!$C$6, $C$13, 100%, $E$13) + CHOOSE(CONTROL!$C$25, 0, 0)</f>
        <v>73.638300000000001</v>
      </c>
      <c r="E740" s="4">
        <f>435.904066143612 * CHOOSE(CONTROL!$C$6, $C$13, 100%, $E$13) + CHOOSE(CONTROL!$C$25, 0, 0)</f>
        <v>435.904066143612</v>
      </c>
    </row>
    <row r="741" spans="1:5" ht="15">
      <c r="A741" s="13">
        <v>64436</v>
      </c>
      <c r="B741" s="4">
        <f>80.0184 * CHOOSE(CONTROL!$C$6, $C$13, 100%, $E$13) + CHOOSE(CONTROL!$C$25, 0.0238, 0)</f>
        <v>80.042199999999994</v>
      </c>
      <c r="C741" s="4">
        <f>79.7059 * CHOOSE(CONTROL!$C$6, $C$13, 100%, $E$13) + CHOOSE(CONTROL!$C$25, 0.0238, 0)</f>
        <v>79.729699999999994</v>
      </c>
      <c r="D741" s="4">
        <f>72.8312 * CHOOSE(CONTROL!$C$6, $C$13, 100%, $E$13) + CHOOSE(CONTROL!$C$25, 0, 0)</f>
        <v>72.831199999999995</v>
      </c>
      <c r="E741" s="4">
        <f>446.34193287671 * CHOOSE(CONTROL!$C$6, $C$13, 100%, $E$13) + CHOOSE(CONTROL!$C$25, 0, 0)</f>
        <v>446.34193287671002</v>
      </c>
    </row>
    <row r="742" spans="1:5" ht="15">
      <c r="A742" s="13">
        <v>64466</v>
      </c>
      <c r="B742" s="4">
        <f>80.2657 * CHOOSE(CONTROL!$C$6, $C$13, 100%, $E$13) + CHOOSE(CONTROL!$C$25, 0.0238, 0)</f>
        <v>80.28949999999999</v>
      </c>
      <c r="C742" s="4">
        <f>79.9532 * CHOOSE(CONTROL!$C$6, $C$13, 100%, $E$13) + CHOOSE(CONTROL!$C$25, 0.0238, 0)</f>
        <v>79.97699999999999</v>
      </c>
      <c r="D742" s="4">
        <f>73.4885 * CHOOSE(CONTROL!$C$6, $C$13, 100%, $E$13) + CHOOSE(CONTROL!$C$25, 0, 0)</f>
        <v>73.488500000000002</v>
      </c>
      <c r="E742" s="4">
        <f>447.754219563735 * CHOOSE(CONTROL!$C$6, $C$13, 100%, $E$13) + CHOOSE(CONTROL!$C$25, 0, 0)</f>
        <v>447.75421956373498</v>
      </c>
    </row>
    <row r="743" spans="1:5" ht="15">
      <c r="A743" s="13">
        <v>64497</v>
      </c>
      <c r="B743" s="4">
        <f>80.2407 * CHOOSE(CONTROL!$C$6, $C$13, 100%, $E$13) + CHOOSE(CONTROL!$C$25, 0.0238, 0)</f>
        <v>80.264499999999998</v>
      </c>
      <c r="C743" s="4">
        <f>79.9282 * CHOOSE(CONTROL!$C$6, $C$13, 100%, $E$13) + CHOOSE(CONTROL!$C$25, 0.0238, 0)</f>
        <v>79.951999999999998</v>
      </c>
      <c r="D743" s="4">
        <f>74.6746 * CHOOSE(CONTROL!$C$6, $C$13, 100%, $E$13) + CHOOSE(CONTROL!$C$25, 0, 0)</f>
        <v>74.674599999999998</v>
      </c>
      <c r="E743" s="4">
        <f>447.611804099497 * CHOOSE(CONTROL!$C$6, $C$13, 100%, $E$13) + CHOOSE(CONTROL!$C$25, 0, 0)</f>
        <v>447.61180409949702</v>
      </c>
    </row>
    <row r="744" spans="1:5" ht="15">
      <c r="A744" s="13">
        <v>64528</v>
      </c>
      <c r="B744" s="4">
        <f>82.117 * CHOOSE(CONTROL!$C$6, $C$13, 100%, $E$13) + CHOOSE(CONTROL!$C$25, 0.0238, 0)</f>
        <v>82.140799999999999</v>
      </c>
      <c r="C744" s="4">
        <f>81.8045 * CHOOSE(CONTROL!$C$6, $C$13, 100%, $E$13) + CHOOSE(CONTROL!$C$25, 0.0238, 0)</f>
        <v>81.828299999999999</v>
      </c>
      <c r="D744" s="4">
        <f>73.8913 * CHOOSE(CONTROL!$C$6, $C$13, 100%, $E$13) + CHOOSE(CONTROL!$C$25, 0, 0)</f>
        <v>73.891300000000001</v>
      </c>
      <c r="E744" s="4">
        <f>458.328567783394 * CHOOSE(CONTROL!$C$6, $C$13, 100%, $E$13) + CHOOSE(CONTROL!$C$25, 0, 0)</f>
        <v>458.32856778339402</v>
      </c>
    </row>
    <row r="745" spans="1:5" ht="15">
      <c r="A745" s="13">
        <v>64558</v>
      </c>
      <c r="B745" s="4">
        <f>78.9192 * CHOOSE(CONTROL!$C$6, $C$13, 100%, $E$13) + CHOOSE(CONTROL!$C$25, 0.0238, 0)</f>
        <v>78.942999999999998</v>
      </c>
      <c r="C745" s="4">
        <f>78.6067 * CHOOSE(CONTROL!$C$6, $C$13, 100%, $E$13) + CHOOSE(CONTROL!$C$25, 0.0238, 0)</f>
        <v>78.630499999999998</v>
      </c>
      <c r="D745" s="4">
        <f>73.5212 * CHOOSE(CONTROL!$C$6, $C$13, 100%, $E$13) + CHOOSE(CONTROL!$C$25, 0, 0)</f>
        <v>73.521199999999993</v>
      </c>
      <c r="E745" s="4">
        <f>440.063784494892 * CHOOSE(CONTROL!$C$6, $C$13, 100%, $E$13) + CHOOSE(CONTROL!$C$25, 0, 0)</f>
        <v>440.06378449489199</v>
      </c>
    </row>
    <row r="746" spans="1:5" ht="15">
      <c r="A746" s="13">
        <v>64589</v>
      </c>
      <c r="B746" s="4">
        <f>76.3594 * CHOOSE(CONTROL!$C$6, $C$13, 100%, $E$13) + CHOOSE(CONTROL!$C$25, 0.0003, 0)</f>
        <v>76.359699999999989</v>
      </c>
      <c r="C746" s="4">
        <f>76.0469 * CHOOSE(CONTROL!$C$6, $C$13, 100%, $E$13) + CHOOSE(CONTROL!$C$25, 0.0003, 0)</f>
        <v>76.047199999999989</v>
      </c>
      <c r="D746" s="4">
        <f>72.5303 * CHOOSE(CONTROL!$C$6, $C$13, 100%, $E$13) + CHOOSE(CONTROL!$C$25, 0, 0)</f>
        <v>72.530299999999997</v>
      </c>
      <c r="E746" s="4">
        <f>425.442463499809 * CHOOSE(CONTROL!$C$6, $C$13, 100%, $E$13) + CHOOSE(CONTROL!$C$25, 0, 0)</f>
        <v>425.44246349980898</v>
      </c>
    </row>
    <row r="747" spans="1:5" ht="15">
      <c r="A747" s="13">
        <v>64619</v>
      </c>
      <c r="B747" s="4">
        <f>74.7107 * CHOOSE(CONTROL!$C$6, $C$13, 100%, $E$13) + CHOOSE(CONTROL!$C$25, 0.0003, 0)</f>
        <v>74.710999999999999</v>
      </c>
      <c r="C747" s="4">
        <f>74.3982 * CHOOSE(CONTROL!$C$6, $C$13, 100%, $E$13) + CHOOSE(CONTROL!$C$25, 0.0003, 0)</f>
        <v>74.398499999999999</v>
      </c>
      <c r="D747" s="4">
        <f>72.1896 * CHOOSE(CONTROL!$C$6, $C$13, 100%, $E$13) + CHOOSE(CONTROL!$C$25, 0, 0)</f>
        <v>72.189599999999999</v>
      </c>
      <c r="E747" s="4">
        <f>416.025240927082 * CHOOSE(CONTROL!$C$6, $C$13, 100%, $E$13) + CHOOSE(CONTROL!$C$25, 0, 0)</f>
        <v>416.025240927082</v>
      </c>
    </row>
    <row r="748" spans="1:5" ht="15">
      <c r="A748" s="13">
        <v>64650</v>
      </c>
      <c r="B748" s="4">
        <f>73.57 * CHOOSE(CONTROL!$C$6, $C$13, 100%, $E$13) + CHOOSE(CONTROL!$C$25, 0.0003, 0)</f>
        <v>73.570299999999989</v>
      </c>
      <c r="C748" s="4">
        <f>73.2575 * CHOOSE(CONTROL!$C$6, $C$13, 100%, $E$13) + CHOOSE(CONTROL!$C$25, 0.0003, 0)</f>
        <v>73.257799999999989</v>
      </c>
      <c r="D748" s="4">
        <f>69.6814 * CHOOSE(CONTROL!$C$6, $C$13, 100%, $E$13) + CHOOSE(CONTROL!$C$25, 0, 0)</f>
        <v>69.681399999999996</v>
      </c>
      <c r="E748" s="4">
        <f>409.509733438201 * CHOOSE(CONTROL!$C$6, $C$13, 100%, $E$13) + CHOOSE(CONTROL!$C$25, 0, 0)</f>
        <v>409.50973343820101</v>
      </c>
    </row>
    <row r="749" spans="1:5" ht="15">
      <c r="A749" s="13">
        <v>64681</v>
      </c>
      <c r="B749" s="4">
        <f>71.7166 * CHOOSE(CONTROL!$C$6, $C$13, 100%, $E$13) + CHOOSE(CONTROL!$C$25, 0.0003, 0)</f>
        <v>71.716899999999995</v>
      </c>
      <c r="C749" s="4">
        <f>71.4041 * CHOOSE(CONTROL!$C$6, $C$13, 100%, $E$13) + CHOOSE(CONTROL!$C$25, 0.0003, 0)</f>
        <v>71.404399999999995</v>
      </c>
      <c r="D749" s="4">
        <f>67.3762 * CHOOSE(CONTROL!$C$6, $C$13, 100%, $E$13) + CHOOSE(CONTROL!$C$25, 0, 0)</f>
        <v>67.376199999999997</v>
      </c>
      <c r="E749" s="4">
        <f>397.766554800643 * CHOOSE(CONTROL!$C$6, $C$13, 100%, $E$13) + CHOOSE(CONTROL!$C$25, 0, 0)</f>
        <v>397.76655480064301</v>
      </c>
    </row>
    <row r="750" spans="1:5" ht="15">
      <c r="A750" s="13">
        <v>64709</v>
      </c>
      <c r="B750" s="4">
        <f>73.3749 * CHOOSE(CONTROL!$C$6, $C$13, 100%, $E$13) + CHOOSE(CONTROL!$C$25, 0.0003, 0)</f>
        <v>73.375199999999992</v>
      </c>
      <c r="C750" s="4">
        <f>73.0624 * CHOOSE(CONTROL!$C$6, $C$13, 100%, $E$13) + CHOOSE(CONTROL!$C$25, 0.0003, 0)</f>
        <v>73.062699999999992</v>
      </c>
      <c r="D750" s="4">
        <f>69.6976 * CHOOSE(CONTROL!$C$6, $C$13, 100%, $E$13) + CHOOSE(CONTROL!$C$25, 0, 0)</f>
        <v>69.697599999999994</v>
      </c>
      <c r="E750" s="4">
        <f>407.211100373582 * CHOOSE(CONTROL!$C$6, $C$13, 100%, $E$13) + CHOOSE(CONTROL!$C$25, 0, 0)</f>
        <v>407.21110037358198</v>
      </c>
    </row>
    <row r="751" spans="1:5" ht="15">
      <c r="A751" s="13">
        <v>64740</v>
      </c>
      <c r="B751" s="4">
        <f>77.7297 * CHOOSE(CONTROL!$C$6, $C$13, 100%, $E$13) + CHOOSE(CONTROL!$C$25, 0.0003, 0)</f>
        <v>77.72999999999999</v>
      </c>
      <c r="C751" s="4">
        <f>77.4172 * CHOOSE(CONTROL!$C$6, $C$13, 100%, $E$13) + CHOOSE(CONTROL!$C$25, 0.0003, 0)</f>
        <v>77.41749999999999</v>
      </c>
      <c r="D751" s="4">
        <f>73.3315 * CHOOSE(CONTROL!$C$6, $C$13, 100%, $E$13) + CHOOSE(CONTROL!$C$25, 0, 0)</f>
        <v>73.331500000000005</v>
      </c>
      <c r="E751" s="4">
        <f>432.012978961751 * CHOOSE(CONTROL!$C$6, $C$13, 100%, $E$13) + CHOOSE(CONTROL!$C$25, 0, 0)</f>
        <v>432.012978961751</v>
      </c>
    </row>
    <row r="752" spans="1:5" ht="15">
      <c r="A752" s="13">
        <v>64770</v>
      </c>
      <c r="B752" s="4">
        <f>80.8239 * CHOOSE(CONTROL!$C$6, $C$13, 100%, $E$13) + CHOOSE(CONTROL!$C$25, 0.0003, 0)</f>
        <v>80.82419999999999</v>
      </c>
      <c r="C752" s="4">
        <f>80.5114 * CHOOSE(CONTROL!$C$6, $C$13, 100%, $E$13) + CHOOSE(CONTROL!$C$25, 0.0003, 0)</f>
        <v>80.51169999999999</v>
      </c>
      <c r="D752" s="4">
        <f>75.4248 * CHOOSE(CONTROL!$C$6, $C$13, 100%, $E$13) + CHOOSE(CONTROL!$C$25, 0, 0)</f>
        <v>75.424800000000005</v>
      </c>
      <c r="E752" s="4">
        <f>449.635044227136 * CHOOSE(CONTROL!$C$6, $C$13, 100%, $E$13) + CHOOSE(CONTROL!$C$25, 0, 0)</f>
        <v>449.63504422713601</v>
      </c>
    </row>
    <row r="753" spans="1:5" ht="15">
      <c r="A753" s="13">
        <v>64801</v>
      </c>
      <c r="B753" s="4">
        <f>82.7143 * CHOOSE(CONTROL!$C$6, $C$13, 100%, $E$13) + CHOOSE(CONTROL!$C$25, 0.0238, 0)</f>
        <v>82.738099999999989</v>
      </c>
      <c r="C753" s="4">
        <f>82.4018 * CHOOSE(CONTROL!$C$6, $C$13, 100%, $E$13) + CHOOSE(CONTROL!$C$25, 0.0238, 0)</f>
        <v>82.425599999999989</v>
      </c>
      <c r="D753" s="4">
        <f>74.5976 * CHOOSE(CONTROL!$C$6, $C$13, 100%, $E$13) + CHOOSE(CONTROL!$C$25, 0, 0)</f>
        <v>74.5976</v>
      </c>
      <c r="E753" s="4">
        <f>460.401703762326 * CHOOSE(CONTROL!$C$6, $C$13, 100%, $E$13) + CHOOSE(CONTROL!$C$25, 0, 0)</f>
        <v>460.40170376232601</v>
      </c>
    </row>
    <row r="754" spans="1:5" ht="15">
      <c r="A754" s="13">
        <v>64831</v>
      </c>
      <c r="B754" s="4">
        <f>82.9701 * CHOOSE(CONTROL!$C$6, $C$13, 100%, $E$13) + CHOOSE(CONTROL!$C$25, 0.0238, 0)</f>
        <v>82.993899999999996</v>
      </c>
      <c r="C754" s="4">
        <f>82.6576 * CHOOSE(CONTROL!$C$6, $C$13, 100%, $E$13) + CHOOSE(CONTROL!$C$25, 0.0238, 0)</f>
        <v>82.681399999999996</v>
      </c>
      <c r="D754" s="4">
        <f>75.2713 * CHOOSE(CONTROL!$C$6, $C$13, 100%, $E$13) + CHOOSE(CONTROL!$C$25, 0, 0)</f>
        <v>75.271299999999997</v>
      </c>
      <c r="E754" s="4">
        <f>461.858477479993 * CHOOSE(CONTROL!$C$6, $C$13, 100%, $E$13) + CHOOSE(CONTROL!$C$25, 0, 0)</f>
        <v>461.85847747999298</v>
      </c>
    </row>
    <row r="755" spans="1:5" ht="15">
      <c r="A755" s="13">
        <v>64862</v>
      </c>
      <c r="B755" s="4">
        <f>82.9443 * CHOOSE(CONTROL!$C$6, $C$13, 100%, $E$13) + CHOOSE(CONTROL!$C$25, 0.0238, 0)</f>
        <v>82.968099999999993</v>
      </c>
      <c r="C755" s="4">
        <f>82.6318 * CHOOSE(CONTROL!$C$6, $C$13, 100%, $E$13) + CHOOSE(CONTROL!$C$25, 0.0238, 0)</f>
        <v>82.655599999999993</v>
      </c>
      <c r="D755" s="4">
        <f>76.4868 * CHOOSE(CONTROL!$C$6, $C$13, 100%, $E$13) + CHOOSE(CONTROL!$C$25, 0, 0)</f>
        <v>76.486800000000002</v>
      </c>
      <c r="E755" s="4">
        <f>461.711575928632 * CHOOSE(CONTROL!$C$6, $C$13, 100%, $E$13) + CHOOSE(CONTROL!$C$25, 0, 0)</f>
        <v>461.71157592863199</v>
      </c>
    </row>
    <row r="756" spans="1:5" ht="15">
      <c r="A756" s="13">
        <v>64893</v>
      </c>
      <c r="B756" s="4">
        <f>84.8853 * CHOOSE(CONTROL!$C$6, $C$13, 100%, $E$13) + CHOOSE(CONTROL!$C$25, 0.0238, 0)</f>
        <v>84.909099999999995</v>
      </c>
      <c r="C756" s="4">
        <f>84.5728 * CHOOSE(CONTROL!$C$6, $C$13, 100%, $E$13) + CHOOSE(CONTROL!$C$25, 0.0238, 0)</f>
        <v>84.596599999999995</v>
      </c>
      <c r="D756" s="4">
        <f>75.6841 * CHOOSE(CONTROL!$C$6, $C$13, 100%, $E$13) + CHOOSE(CONTROL!$C$25, 0, 0)</f>
        <v>75.684100000000001</v>
      </c>
      <c r="E756" s="4">
        <f>472.765917668571 * CHOOSE(CONTROL!$C$6, $C$13, 100%, $E$13) + CHOOSE(CONTROL!$C$25, 0, 0)</f>
        <v>472.76591766857098</v>
      </c>
    </row>
    <row r="757" spans="1:5" ht="15">
      <c r="A757" s="13">
        <v>64923</v>
      </c>
      <c r="B757" s="4">
        <f>81.5773 * CHOOSE(CONTROL!$C$6, $C$13, 100%, $E$13) + CHOOSE(CONTROL!$C$25, 0.0238, 0)</f>
        <v>81.601099999999988</v>
      </c>
      <c r="C757" s="4">
        <f>81.2648 * CHOOSE(CONTROL!$C$6, $C$13, 100%, $E$13) + CHOOSE(CONTROL!$C$25, 0.0238, 0)</f>
        <v>81.288599999999988</v>
      </c>
      <c r="D757" s="4">
        <f>75.3048 * CHOOSE(CONTROL!$C$6, $C$13, 100%, $E$13) + CHOOSE(CONTROL!$C$25, 0, 0)</f>
        <v>75.3048</v>
      </c>
      <c r="E757" s="4">
        <f>453.925793706482 * CHOOSE(CONTROL!$C$6, $C$13, 100%, $E$13) + CHOOSE(CONTROL!$C$25, 0, 0)</f>
        <v>453.92579370648201</v>
      </c>
    </row>
    <row r="758" spans="1:5" ht="15">
      <c r="A758" s="13">
        <v>64954</v>
      </c>
      <c r="B758" s="4">
        <f>78.9291 * CHOOSE(CONTROL!$C$6, $C$13, 100%, $E$13) + CHOOSE(CONTROL!$C$25, 0.0003, 0)</f>
        <v>78.929400000000001</v>
      </c>
      <c r="C758" s="4">
        <f>78.6166 * CHOOSE(CONTROL!$C$6, $C$13, 100%, $E$13) + CHOOSE(CONTROL!$C$25, 0.0003, 0)</f>
        <v>78.616900000000001</v>
      </c>
      <c r="D758" s="4">
        <f>74.2893 * CHOOSE(CONTROL!$C$6, $C$13, 100%, $E$13) + CHOOSE(CONTROL!$C$25, 0, 0)</f>
        <v>74.289299999999997</v>
      </c>
      <c r="E758" s="4">
        <f>438.843901100053 * CHOOSE(CONTROL!$C$6, $C$13, 100%, $E$13) + CHOOSE(CONTROL!$C$25, 0, 0)</f>
        <v>438.84390110005302</v>
      </c>
    </row>
    <row r="759" spans="1:5" ht="15">
      <c r="A759" s="13">
        <v>64984</v>
      </c>
      <c r="B759" s="4">
        <f>77.2235 * CHOOSE(CONTROL!$C$6, $C$13, 100%, $E$13) + CHOOSE(CONTROL!$C$25, 0.0003, 0)</f>
        <v>77.223799999999997</v>
      </c>
      <c r="C759" s="4">
        <f>76.911 * CHOOSE(CONTROL!$C$6, $C$13, 100%, $E$13) + CHOOSE(CONTROL!$C$25, 0.0003, 0)</f>
        <v>76.911299999999997</v>
      </c>
      <c r="D759" s="4">
        <f>73.9401 * CHOOSE(CONTROL!$C$6, $C$13, 100%, $E$13) + CHOOSE(CONTROL!$C$25, 0, 0)</f>
        <v>73.940100000000001</v>
      </c>
      <c r="E759" s="4">
        <f>429.130036016285 * CHOOSE(CONTROL!$C$6, $C$13, 100%, $E$13) + CHOOSE(CONTROL!$C$25, 0, 0)</f>
        <v>429.13003601628498</v>
      </c>
    </row>
    <row r="760" spans="1:5" ht="15">
      <c r="A760" s="13">
        <v>65015</v>
      </c>
      <c r="B760" s="4">
        <f>76.0435 * CHOOSE(CONTROL!$C$6, $C$13, 100%, $E$13) + CHOOSE(CONTROL!$C$25, 0.0003, 0)</f>
        <v>76.04379999999999</v>
      </c>
      <c r="C760" s="4">
        <f>75.731 * CHOOSE(CONTROL!$C$6, $C$13, 100%, $E$13) + CHOOSE(CONTROL!$C$25, 0.0003, 0)</f>
        <v>75.73129999999999</v>
      </c>
      <c r="D760" s="4">
        <f>71.3697 * CHOOSE(CONTROL!$C$6, $C$13, 100%, $E$13) + CHOOSE(CONTROL!$C$25, 0, 0)</f>
        <v>71.369699999999995</v>
      </c>
      <c r="E760" s="4">
        <f>422.409290041505 * CHOOSE(CONTROL!$C$6, $C$13, 100%, $E$13) + CHOOSE(CONTROL!$C$25, 0, 0)</f>
        <v>422.40929004150502</v>
      </c>
    </row>
    <row r="761" spans="1:5" ht="15">
      <c r="A761" s="13">
        <v>65046</v>
      </c>
      <c r="B761" s="4">
        <f>74.1261 * CHOOSE(CONTROL!$C$6, $C$13, 100%, $E$13) + CHOOSE(CONTROL!$C$25, 0.0003, 0)</f>
        <v>74.12639999999999</v>
      </c>
      <c r="C761" s="4">
        <f>73.8136 * CHOOSE(CONTROL!$C$6, $C$13, 100%, $E$13) + CHOOSE(CONTROL!$C$25, 0.0003, 0)</f>
        <v>73.81389999999999</v>
      </c>
      <c r="D761" s="4">
        <f>69.0073 * CHOOSE(CONTROL!$C$6, $C$13, 100%, $E$13) + CHOOSE(CONTROL!$C$25, 0, 0)</f>
        <v>69.007300000000001</v>
      </c>
      <c r="E761" s="4">
        <f>410.296201276863 * CHOOSE(CONTROL!$C$6, $C$13, 100%, $E$13) + CHOOSE(CONTROL!$C$25, 0, 0)</f>
        <v>410.29620127686297</v>
      </c>
    </row>
    <row r="762" spans="1:5" ht="15">
      <c r="A762" s="13">
        <v>65074</v>
      </c>
      <c r="B762" s="4">
        <f>75.8417 * CHOOSE(CONTROL!$C$6, $C$13, 100%, $E$13) + CHOOSE(CONTROL!$C$25, 0.0003, 0)</f>
        <v>75.841999999999999</v>
      </c>
      <c r="C762" s="4">
        <f>75.5292 * CHOOSE(CONTROL!$C$6, $C$13, 100%, $E$13) + CHOOSE(CONTROL!$C$25, 0.0003, 0)</f>
        <v>75.529499999999999</v>
      </c>
      <c r="D762" s="4">
        <f>71.3863 * CHOOSE(CONTROL!$C$6, $C$13, 100%, $E$13) + CHOOSE(CONTROL!$C$25, 0, 0)</f>
        <v>71.386300000000006</v>
      </c>
      <c r="E762" s="4">
        <f>420.038250035349 * CHOOSE(CONTROL!$C$6, $C$13, 100%, $E$13) + CHOOSE(CONTROL!$C$25, 0, 0)</f>
        <v>420.03825003534899</v>
      </c>
    </row>
    <row r="763" spans="1:5" ht="15">
      <c r="A763" s="13">
        <v>65105</v>
      </c>
      <c r="B763" s="4">
        <f>80.3467 * CHOOSE(CONTROL!$C$6, $C$13, 100%, $E$13) + CHOOSE(CONTROL!$C$25, 0.0003, 0)</f>
        <v>80.346999999999994</v>
      </c>
      <c r="C763" s="4">
        <f>80.0342 * CHOOSE(CONTROL!$C$6, $C$13, 100%, $E$13) + CHOOSE(CONTROL!$C$25, 0.0003, 0)</f>
        <v>80.034499999999994</v>
      </c>
      <c r="D763" s="4">
        <f>75.1104 * CHOOSE(CONTROL!$C$6, $C$13, 100%, $E$13) + CHOOSE(CONTROL!$C$25, 0, 0)</f>
        <v>75.110399999999998</v>
      </c>
      <c r="E763" s="4">
        <f>445.621387799046 * CHOOSE(CONTROL!$C$6, $C$13, 100%, $E$13) + CHOOSE(CONTROL!$C$25, 0, 0)</f>
        <v>445.62138779904598</v>
      </c>
    </row>
    <row r="764" spans="1:5" ht="15">
      <c r="A764" s="13">
        <v>65135</v>
      </c>
      <c r="B764" s="4">
        <f>83.5476 * CHOOSE(CONTROL!$C$6, $C$13, 100%, $E$13) + CHOOSE(CONTROL!$C$25, 0.0003, 0)</f>
        <v>83.547899999999998</v>
      </c>
      <c r="C764" s="4">
        <f>83.2351 * CHOOSE(CONTROL!$C$6, $C$13, 100%, $E$13) + CHOOSE(CONTROL!$C$25, 0.0003, 0)</f>
        <v>83.235399999999998</v>
      </c>
      <c r="D764" s="4">
        <f>77.2555 * CHOOSE(CONTROL!$C$6, $C$13, 100%, $E$13) + CHOOSE(CONTROL!$C$25, 0, 0)</f>
        <v>77.255499999999998</v>
      </c>
      <c r="E764" s="4">
        <f>463.798548120291 * CHOOSE(CONTROL!$C$6, $C$13, 100%, $E$13) + CHOOSE(CONTROL!$C$25, 0, 0)</f>
        <v>463.798548120291</v>
      </c>
    </row>
    <row r="765" spans="1:5" ht="15">
      <c r="A765" s="13">
        <v>65166</v>
      </c>
      <c r="B765" s="4">
        <f>85.5033 * CHOOSE(CONTROL!$C$6, $C$13, 100%, $E$13) + CHOOSE(CONTROL!$C$25, 0.0238, 0)</f>
        <v>85.52709999999999</v>
      </c>
      <c r="C765" s="4">
        <f>85.1908 * CHOOSE(CONTROL!$C$6, $C$13, 100%, $E$13) + CHOOSE(CONTROL!$C$25, 0.0238, 0)</f>
        <v>85.21459999999999</v>
      </c>
      <c r="D765" s="4">
        <f>76.4079 * CHOOSE(CONTROL!$C$6, $C$13, 100%, $E$13) + CHOOSE(CONTROL!$C$25, 0, 0)</f>
        <v>76.407899999999998</v>
      </c>
      <c r="E765" s="4">
        <f>474.90435743084 * CHOOSE(CONTROL!$C$6, $C$13, 100%, $E$13) + CHOOSE(CONTROL!$C$25, 0, 0)</f>
        <v>474.90435743083998</v>
      </c>
    </row>
    <row r="766" spans="1:5" ht="15">
      <c r="A766" s="13">
        <v>65196</v>
      </c>
      <c r="B766" s="4">
        <f>85.7679 * CHOOSE(CONTROL!$C$6, $C$13, 100%, $E$13) + CHOOSE(CONTROL!$C$25, 0.0238, 0)</f>
        <v>85.791699999999992</v>
      </c>
      <c r="C766" s="4">
        <f>85.4554 * CHOOSE(CONTROL!$C$6, $C$13, 100%, $E$13) + CHOOSE(CONTROL!$C$25, 0.0238, 0)</f>
        <v>85.479199999999992</v>
      </c>
      <c r="D766" s="4">
        <f>77.0982 * CHOOSE(CONTROL!$C$6, $C$13, 100%, $E$13) + CHOOSE(CONTROL!$C$25, 0, 0)</f>
        <v>77.098200000000006</v>
      </c>
      <c r="E766" s="4">
        <f>476.407019520613 * CHOOSE(CONTROL!$C$6, $C$13, 100%, $E$13) + CHOOSE(CONTROL!$C$25, 0, 0)</f>
        <v>476.40701952061301</v>
      </c>
    </row>
    <row r="767" spans="1:5" ht="15">
      <c r="A767" s="13">
        <v>65227</v>
      </c>
      <c r="B767" s="4">
        <f>85.7412 * CHOOSE(CONTROL!$C$6, $C$13, 100%, $E$13) + CHOOSE(CONTROL!$C$25, 0.0238, 0)</f>
        <v>85.765000000000001</v>
      </c>
      <c r="C767" s="4">
        <f>85.4287 * CHOOSE(CONTROL!$C$6, $C$13, 100%, $E$13) + CHOOSE(CONTROL!$C$25, 0.0238, 0)</f>
        <v>85.452500000000001</v>
      </c>
      <c r="D767" s="4">
        <f>78.3439 * CHOOSE(CONTROL!$C$6, $C$13, 100%, $E$13) + CHOOSE(CONTROL!$C$25, 0, 0)</f>
        <v>78.343900000000005</v>
      </c>
      <c r="E767" s="4">
        <f>476.255490570383 * CHOOSE(CONTROL!$C$6, $C$13, 100%, $E$13) + CHOOSE(CONTROL!$C$25, 0, 0)</f>
        <v>476.25549057038302</v>
      </c>
    </row>
    <row r="768" spans="1:5" ht="15">
      <c r="A768" s="13">
        <v>65258</v>
      </c>
      <c r="B768" s="4">
        <f>87.7492 * CHOOSE(CONTROL!$C$6, $C$13, 100%, $E$13) + CHOOSE(CONTROL!$C$25, 0.0238, 0)</f>
        <v>87.772999999999996</v>
      </c>
      <c r="C768" s="4">
        <f>87.4367 * CHOOSE(CONTROL!$C$6, $C$13, 100%, $E$13) + CHOOSE(CONTROL!$C$25, 0.0238, 0)</f>
        <v>87.460499999999996</v>
      </c>
      <c r="D768" s="4">
        <f>77.5213 * CHOOSE(CONTROL!$C$6, $C$13, 100%, $E$13) + CHOOSE(CONTROL!$C$25, 0, 0)</f>
        <v>77.521299999999997</v>
      </c>
      <c r="E768" s="4">
        <f>487.658044075131 * CHOOSE(CONTROL!$C$6, $C$13, 100%, $E$13) + CHOOSE(CONTROL!$C$25, 0, 0)</f>
        <v>487.65804407513099</v>
      </c>
    </row>
    <row r="769" spans="1:5" ht="15">
      <c r="A769" s="13">
        <v>65288</v>
      </c>
      <c r="B769" s="4">
        <f>84.327 * CHOOSE(CONTROL!$C$6, $C$13, 100%, $E$13) + CHOOSE(CONTROL!$C$25, 0.0238, 0)</f>
        <v>84.350799999999992</v>
      </c>
      <c r="C769" s="4">
        <f>84.0145 * CHOOSE(CONTROL!$C$6, $C$13, 100%, $E$13) + CHOOSE(CONTROL!$C$25, 0.0238, 0)</f>
        <v>84.038299999999992</v>
      </c>
      <c r="D769" s="4">
        <f>77.1326 * CHOOSE(CONTROL!$C$6, $C$13, 100%, $E$13) + CHOOSE(CONTROL!$C$25, 0, 0)</f>
        <v>77.132599999999996</v>
      </c>
      <c r="E769" s="4">
        <f>468.224456208236 * CHOOSE(CONTROL!$C$6, $C$13, 100%, $E$13) + CHOOSE(CONTROL!$C$25, 0, 0)</f>
        <v>468.22445620823601</v>
      </c>
    </row>
    <row r="770" spans="1:5" ht="15">
      <c r="A770" s="13">
        <v>65319</v>
      </c>
      <c r="B770" s="4">
        <f>81.5875 * CHOOSE(CONTROL!$C$6, $C$13, 100%, $E$13) + CHOOSE(CONTROL!$C$25, 0.0003, 0)</f>
        <v>81.587800000000001</v>
      </c>
      <c r="C770" s="4">
        <f>81.275 * CHOOSE(CONTROL!$C$6, $C$13, 100%, $E$13) + CHOOSE(CONTROL!$C$25, 0.0003, 0)</f>
        <v>81.275300000000001</v>
      </c>
      <c r="D770" s="4">
        <f>76.0919 * CHOOSE(CONTROL!$C$6, $C$13, 100%, $E$13) + CHOOSE(CONTROL!$C$25, 0, 0)</f>
        <v>76.091899999999995</v>
      </c>
      <c r="E770" s="4">
        <f>452.667483984704 * CHOOSE(CONTROL!$C$6, $C$13, 100%, $E$13) + CHOOSE(CONTROL!$C$25, 0, 0)</f>
        <v>452.66748398470401</v>
      </c>
    </row>
    <row r="771" spans="1:5" ht="15">
      <c r="A771" s="13">
        <v>65349</v>
      </c>
      <c r="B771" s="4">
        <f>79.8231 * CHOOSE(CONTROL!$C$6, $C$13, 100%, $E$13) + CHOOSE(CONTROL!$C$25, 0.0003, 0)</f>
        <v>79.823399999999992</v>
      </c>
      <c r="C771" s="4">
        <f>79.5106 * CHOOSE(CONTROL!$C$6, $C$13, 100%, $E$13) + CHOOSE(CONTROL!$C$25, 0.0003, 0)</f>
        <v>79.510899999999992</v>
      </c>
      <c r="D771" s="4">
        <f>75.7341 * CHOOSE(CONTROL!$C$6, $C$13, 100%, $E$13) + CHOOSE(CONTROL!$C$25, 0, 0)</f>
        <v>75.734099999999998</v>
      </c>
      <c r="E771" s="4">
        <f>442.647632150798 * CHOOSE(CONTROL!$C$6, $C$13, 100%, $E$13) + CHOOSE(CONTROL!$C$25, 0, 0)</f>
        <v>442.64763215079802</v>
      </c>
    </row>
    <row r="772" spans="1:5" ht="15">
      <c r="A772" s="13">
        <v>65380</v>
      </c>
      <c r="B772" s="4">
        <f>78.6023 * CHOOSE(CONTROL!$C$6, $C$13, 100%, $E$13) + CHOOSE(CONTROL!$C$25, 0.0003, 0)</f>
        <v>78.602599999999995</v>
      </c>
      <c r="C772" s="4">
        <f>78.2898 * CHOOSE(CONTROL!$C$6, $C$13, 100%, $E$13) + CHOOSE(CONTROL!$C$25, 0.0003, 0)</f>
        <v>78.290099999999995</v>
      </c>
      <c r="D772" s="4">
        <f>73.0999 * CHOOSE(CONTROL!$C$6, $C$13, 100%, $E$13) + CHOOSE(CONTROL!$C$25, 0, 0)</f>
        <v>73.099900000000005</v>
      </c>
      <c r="E772" s="4">
        <f>435.715182677812 * CHOOSE(CONTROL!$C$6, $C$13, 100%, $E$13) + CHOOSE(CONTROL!$C$25, 0, 0)</f>
        <v>435.71518267781198</v>
      </c>
    </row>
    <row r="773" spans="1:5" ht="15">
      <c r="A773" s="13">
        <v>65411</v>
      </c>
      <c r="B773" s="4">
        <f>76.6188 * CHOOSE(CONTROL!$C$6, $C$13, 100%, $E$13) + CHOOSE(CONTROL!$C$25, 0.0003, 0)</f>
        <v>76.619099999999989</v>
      </c>
      <c r="C773" s="4">
        <f>76.3063 * CHOOSE(CONTROL!$C$6, $C$13, 100%, $E$13) + CHOOSE(CONTROL!$C$25, 0.0003, 0)</f>
        <v>76.306599999999989</v>
      </c>
      <c r="D773" s="4">
        <f>70.679 * CHOOSE(CONTROL!$C$6, $C$13, 100%, $E$13) + CHOOSE(CONTROL!$C$25, 0, 0)</f>
        <v>70.679000000000002</v>
      </c>
      <c r="E773" s="4">
        <f>423.220531617085 * CHOOSE(CONTROL!$C$6, $C$13, 100%, $E$13) + CHOOSE(CONTROL!$C$25, 0, 0)</f>
        <v>423.22053161708499</v>
      </c>
    </row>
    <row r="774" spans="1:5" ht="15">
      <c r="A774" s="13">
        <v>65439</v>
      </c>
      <c r="B774" s="4">
        <f>78.3935 * CHOOSE(CONTROL!$C$6, $C$13, 100%, $E$13) + CHOOSE(CONTROL!$C$25, 0.0003, 0)</f>
        <v>78.393799999999999</v>
      </c>
      <c r="C774" s="4">
        <f>78.081 * CHOOSE(CONTROL!$C$6, $C$13, 100%, $E$13) + CHOOSE(CONTROL!$C$25, 0.0003, 0)</f>
        <v>78.081299999999999</v>
      </c>
      <c r="D774" s="4">
        <f>73.1169 * CHOOSE(CONTROL!$C$6, $C$13, 100%, $E$13) + CHOOSE(CONTROL!$C$25, 0, 0)</f>
        <v>73.116900000000001</v>
      </c>
      <c r="E774" s="4">
        <f>433.269454911463 * CHOOSE(CONTROL!$C$6, $C$13, 100%, $E$13) + CHOOSE(CONTROL!$C$25, 0, 0)</f>
        <v>433.26945491146301</v>
      </c>
    </row>
    <row r="775" spans="1:5" ht="15">
      <c r="A775" s="13">
        <v>65470</v>
      </c>
      <c r="B775" s="4">
        <f>83.054 * CHOOSE(CONTROL!$C$6, $C$13, 100%, $E$13) + CHOOSE(CONTROL!$C$25, 0.0003, 0)</f>
        <v>83.054299999999998</v>
      </c>
      <c r="C775" s="4">
        <f>82.7415 * CHOOSE(CONTROL!$C$6, $C$13, 100%, $E$13) + CHOOSE(CONTROL!$C$25, 0.0003, 0)</f>
        <v>82.741799999999998</v>
      </c>
      <c r="D775" s="4">
        <f>76.9333 * CHOOSE(CONTROL!$C$6, $C$13, 100%, $E$13) + CHOOSE(CONTROL!$C$25, 0, 0)</f>
        <v>76.933300000000003</v>
      </c>
      <c r="E775" s="4">
        <f>459.658461514716 * CHOOSE(CONTROL!$C$6, $C$13, 100%, $E$13) + CHOOSE(CONTROL!$C$25, 0, 0)</f>
        <v>459.65846151471601</v>
      </c>
    </row>
    <row r="776" spans="1:5" ht="15">
      <c r="A776" s="13">
        <v>65500</v>
      </c>
      <c r="B776" s="4">
        <f>86.3653 * CHOOSE(CONTROL!$C$6, $C$13, 100%, $E$13) + CHOOSE(CONTROL!$C$25, 0.0003, 0)</f>
        <v>86.365600000000001</v>
      </c>
      <c r="C776" s="4">
        <f>86.0528 * CHOOSE(CONTROL!$C$6, $C$13, 100%, $E$13) + CHOOSE(CONTROL!$C$25, 0.0003, 0)</f>
        <v>86.053100000000001</v>
      </c>
      <c r="D776" s="4">
        <f>79.1317 * CHOOSE(CONTROL!$C$6, $C$13, 100%, $E$13) + CHOOSE(CONTROL!$C$25, 0, 0)</f>
        <v>79.131699999999995</v>
      </c>
      <c r="E776" s="4">
        <f>478.40820238608 * CHOOSE(CONTROL!$C$6, $C$13, 100%, $E$13) + CHOOSE(CONTROL!$C$25, 0, 0)</f>
        <v>478.40820238608001</v>
      </c>
    </row>
    <row r="777" spans="1:5" ht="15">
      <c r="A777" s="13">
        <v>65531</v>
      </c>
      <c r="B777" s="4">
        <f>88.3885 * CHOOSE(CONTROL!$C$6, $C$13, 100%, $E$13) + CHOOSE(CONTROL!$C$25, 0.0238, 0)</f>
        <v>88.412299999999988</v>
      </c>
      <c r="C777" s="4">
        <f>88.076 * CHOOSE(CONTROL!$C$6, $C$13, 100%, $E$13) + CHOOSE(CONTROL!$C$25, 0.0238, 0)</f>
        <v>88.099799999999988</v>
      </c>
      <c r="D777" s="4">
        <f>78.263 * CHOOSE(CONTROL!$C$6, $C$13, 100%, $E$13) + CHOOSE(CONTROL!$C$25, 0, 0)</f>
        <v>78.263000000000005</v>
      </c>
      <c r="E777" s="4">
        <f>489.863844689911 * CHOOSE(CONTROL!$C$6, $C$13, 100%, $E$13) + CHOOSE(CONTROL!$C$25, 0, 0)</f>
        <v>489.86384468991099</v>
      </c>
    </row>
    <row r="778" spans="1:5" ht="15">
      <c r="A778" s="13">
        <v>65561</v>
      </c>
      <c r="B778" s="4">
        <f>88.6622 * CHOOSE(CONTROL!$C$6, $C$13, 100%, $E$13) + CHOOSE(CONTROL!$C$25, 0.0238, 0)</f>
        <v>88.685999999999993</v>
      </c>
      <c r="C778" s="4">
        <f>88.3497 * CHOOSE(CONTROL!$C$6, $C$13, 100%, $E$13) + CHOOSE(CONTROL!$C$25, 0.0238, 0)</f>
        <v>88.373499999999993</v>
      </c>
      <c r="D778" s="4">
        <f>78.9705 * CHOOSE(CONTROL!$C$6, $C$13, 100%, $E$13) + CHOOSE(CONTROL!$C$25, 0, 0)</f>
        <v>78.970500000000001</v>
      </c>
      <c r="E778" s="4">
        <f>491.413840635512 * CHOOSE(CONTROL!$C$6, $C$13, 100%, $E$13) + CHOOSE(CONTROL!$C$25, 0, 0)</f>
        <v>491.41384063551197</v>
      </c>
    </row>
    <row r="779" spans="1:5" ht="15">
      <c r="A779" s="13">
        <v>65592</v>
      </c>
      <c r="B779" s="4">
        <f>88.6346 * CHOOSE(CONTROL!$C$6, $C$13, 100%, $E$13) + CHOOSE(CONTROL!$C$25, 0.0238, 0)</f>
        <v>88.6584</v>
      </c>
      <c r="C779" s="4">
        <f>88.3221 * CHOOSE(CONTROL!$C$6, $C$13, 100%, $E$13) + CHOOSE(CONTROL!$C$25, 0.0238, 0)</f>
        <v>88.3459</v>
      </c>
      <c r="D779" s="4">
        <f>80.2471 * CHOOSE(CONTROL!$C$6, $C$13, 100%, $E$13) + CHOOSE(CONTROL!$C$25, 0, 0)</f>
        <v>80.247100000000003</v>
      </c>
      <c r="E779" s="4">
        <f>491.257538523351 * CHOOSE(CONTROL!$C$6, $C$13, 100%, $E$13) + CHOOSE(CONTROL!$C$25, 0, 0)</f>
        <v>491.257538523351</v>
      </c>
    </row>
    <row r="780" spans="1:5" ht="15">
      <c r="A780" s="13">
        <v>65623</v>
      </c>
      <c r="B780" s="4">
        <f>90.7118 * CHOOSE(CONTROL!$C$6, $C$13, 100%, $E$13) + CHOOSE(CONTROL!$C$25, 0.0238, 0)</f>
        <v>90.735599999999991</v>
      </c>
      <c r="C780" s="4">
        <f>90.3993 * CHOOSE(CONTROL!$C$6, $C$13, 100%, $E$13) + CHOOSE(CONTROL!$C$25, 0.0238, 0)</f>
        <v>90.423099999999991</v>
      </c>
      <c r="D780" s="4">
        <f>79.404 * CHOOSE(CONTROL!$C$6, $C$13, 100%, $E$13) + CHOOSE(CONTROL!$C$25, 0, 0)</f>
        <v>79.403999999999996</v>
      </c>
      <c r="E780" s="4">
        <f>503.019272463498 * CHOOSE(CONTROL!$C$6, $C$13, 100%, $E$13) + CHOOSE(CONTROL!$C$25, 0, 0)</f>
        <v>503.019272463498</v>
      </c>
    </row>
    <row r="781" spans="1:5" ht="15">
      <c r="A781" s="13">
        <v>65653</v>
      </c>
      <c r="B781" s="4">
        <f>87.1716 * CHOOSE(CONTROL!$C$6, $C$13, 100%, $E$13) + CHOOSE(CONTROL!$C$25, 0.0238, 0)</f>
        <v>87.195399999999992</v>
      </c>
      <c r="C781" s="4">
        <f>86.8591 * CHOOSE(CONTROL!$C$6, $C$13, 100%, $E$13) + CHOOSE(CONTROL!$C$25, 0.0238, 0)</f>
        <v>86.882899999999992</v>
      </c>
      <c r="D781" s="4">
        <f>79.0057 * CHOOSE(CONTROL!$C$6, $C$13, 100%, $E$13) + CHOOSE(CONTROL!$C$25, 0, 0)</f>
        <v>79.005700000000004</v>
      </c>
      <c r="E781" s="4">
        <f>482.973526578795 * CHOOSE(CONTROL!$C$6, $C$13, 100%, $E$13) + CHOOSE(CONTROL!$C$25, 0, 0)</f>
        <v>482.97352657879497</v>
      </c>
    </row>
    <row r="782" spans="1:5" ht="15">
      <c r="A782" s="13">
        <v>65684</v>
      </c>
      <c r="B782" s="4">
        <f>84.3376 * CHOOSE(CONTROL!$C$6, $C$13, 100%, $E$13) + CHOOSE(CONTROL!$C$25, 0.0003, 0)</f>
        <v>84.337899999999991</v>
      </c>
      <c r="C782" s="4">
        <f>84.0251 * CHOOSE(CONTROL!$C$6, $C$13, 100%, $E$13) + CHOOSE(CONTROL!$C$25, 0.0003, 0)</f>
        <v>84.025399999999991</v>
      </c>
      <c r="D782" s="4">
        <f>77.9392 * CHOOSE(CONTROL!$C$6, $C$13, 100%, $E$13) + CHOOSE(CONTROL!$C$25, 0, 0)</f>
        <v>77.9392</v>
      </c>
      <c r="E782" s="4">
        <f>466.926509730223 * CHOOSE(CONTROL!$C$6, $C$13, 100%, $E$13) + CHOOSE(CONTROL!$C$25, 0, 0)</f>
        <v>466.92650973022302</v>
      </c>
    </row>
    <row r="783" spans="1:5" ht="15">
      <c r="A783" s="13">
        <v>65714</v>
      </c>
      <c r="B783" s="4">
        <f>82.5123 * CHOOSE(CONTROL!$C$6, $C$13, 100%, $E$13) + CHOOSE(CONTROL!$C$25, 0.0003, 0)</f>
        <v>82.512599999999992</v>
      </c>
      <c r="C783" s="4">
        <f>82.1998 * CHOOSE(CONTROL!$C$6, $C$13, 100%, $E$13) + CHOOSE(CONTROL!$C$25, 0.0003, 0)</f>
        <v>82.200099999999992</v>
      </c>
      <c r="D783" s="4">
        <f>77.5725 * CHOOSE(CONTROL!$C$6, $C$13, 100%, $E$13) + CHOOSE(CONTROL!$C$25, 0, 0)</f>
        <v>77.572500000000005</v>
      </c>
      <c r="E783" s="4">
        <f>456.591032563548 * CHOOSE(CONTROL!$C$6, $C$13, 100%, $E$13) + CHOOSE(CONTROL!$C$25, 0, 0)</f>
        <v>456.59103256354803</v>
      </c>
    </row>
    <row r="784" spans="1:5" ht="15">
      <c r="A784" s="13">
        <v>65745</v>
      </c>
      <c r="B784" s="4">
        <f>81.2494 * CHOOSE(CONTROL!$C$6, $C$13, 100%, $E$13) + CHOOSE(CONTROL!$C$25, 0.0003, 0)</f>
        <v>81.24969999999999</v>
      </c>
      <c r="C784" s="4">
        <f>80.9369 * CHOOSE(CONTROL!$C$6, $C$13, 100%, $E$13) + CHOOSE(CONTROL!$C$25, 0.0003, 0)</f>
        <v>80.93719999999999</v>
      </c>
      <c r="D784" s="4">
        <f>74.8731 * CHOOSE(CONTROL!$C$6, $C$13, 100%, $E$13) + CHOOSE(CONTROL!$C$25, 0, 0)</f>
        <v>74.873099999999994</v>
      </c>
      <c r="E784" s="4">
        <f>449.440210932163 * CHOOSE(CONTROL!$C$6, $C$13, 100%, $E$13) + CHOOSE(CONTROL!$C$25, 0, 0)</f>
        <v>449.44021093216298</v>
      </c>
    </row>
    <row r="785" spans="1:5" ht="15">
      <c r="A785" s="13">
        <v>65776</v>
      </c>
      <c r="B785" s="4">
        <f>79.1974 * CHOOSE(CONTROL!$C$6, $C$13, 100%, $E$13) + CHOOSE(CONTROL!$C$25, 0.0003, 0)</f>
        <v>79.197699999999998</v>
      </c>
      <c r="C785" s="4">
        <f>78.8849 * CHOOSE(CONTROL!$C$6, $C$13, 100%, $E$13) + CHOOSE(CONTROL!$C$25, 0.0003, 0)</f>
        <v>78.885199999999998</v>
      </c>
      <c r="D785" s="4">
        <f>72.392 * CHOOSE(CONTROL!$C$6, $C$13, 100%, $E$13) + CHOOSE(CONTROL!$C$25, 0, 0)</f>
        <v>72.391999999999996</v>
      </c>
      <c r="E785" s="4">
        <f>436.551978363023 * CHOOSE(CONTROL!$C$6, $C$13, 100%, $E$13) + CHOOSE(CONTROL!$C$25, 0, 0)</f>
        <v>436.55197836302301</v>
      </c>
    </row>
    <row r="786" spans="1:5" ht="15">
      <c r="A786" s="13">
        <v>65805</v>
      </c>
      <c r="B786" s="4">
        <f>81.0334 * CHOOSE(CONTROL!$C$6, $C$13, 100%, $E$13) + CHOOSE(CONTROL!$C$25, 0.0003, 0)</f>
        <v>81.033699999999996</v>
      </c>
      <c r="C786" s="4">
        <f>80.7209 * CHOOSE(CONTROL!$C$6, $C$13, 100%, $E$13) + CHOOSE(CONTROL!$C$25, 0.0003, 0)</f>
        <v>80.721199999999996</v>
      </c>
      <c r="D786" s="4">
        <f>74.8904 * CHOOSE(CONTROL!$C$6, $C$13, 100%, $E$13) + CHOOSE(CONTROL!$C$25, 0, 0)</f>
        <v>74.8904</v>
      </c>
      <c r="E786" s="4">
        <f>446.917442741174 * CHOOSE(CONTROL!$C$6, $C$13, 100%, $E$13) + CHOOSE(CONTROL!$C$25, 0, 0)</f>
        <v>446.917442741174</v>
      </c>
    </row>
    <row r="787" spans="1:5" ht="15">
      <c r="A787" s="13">
        <v>65836</v>
      </c>
      <c r="B787" s="4">
        <f>85.8547 * CHOOSE(CONTROL!$C$6, $C$13, 100%, $E$13) + CHOOSE(CONTROL!$C$25, 0.0003, 0)</f>
        <v>85.85499999999999</v>
      </c>
      <c r="C787" s="4">
        <f>85.5422 * CHOOSE(CONTROL!$C$6, $C$13, 100%, $E$13) + CHOOSE(CONTROL!$C$25, 0.0003, 0)</f>
        <v>85.54249999999999</v>
      </c>
      <c r="D787" s="4">
        <f>78.8015 * CHOOSE(CONTROL!$C$6, $C$13, 100%, $E$13) + CHOOSE(CONTROL!$C$25, 0, 0)</f>
        <v>78.801500000000004</v>
      </c>
      <c r="E787" s="4">
        <f>474.13770305243 * CHOOSE(CONTROL!$C$6, $C$13, 100%, $E$13) + CHOOSE(CONTROL!$C$25, 0, 0)</f>
        <v>474.13770305243003</v>
      </c>
    </row>
    <row r="788" spans="1:5" ht="15">
      <c r="A788" s="13">
        <v>65866</v>
      </c>
      <c r="B788" s="4">
        <f>89.2802 * CHOOSE(CONTROL!$C$6, $C$13, 100%, $E$13) + CHOOSE(CONTROL!$C$25, 0.0003, 0)</f>
        <v>89.280499999999989</v>
      </c>
      <c r="C788" s="4">
        <f>88.9677 * CHOOSE(CONTROL!$C$6, $C$13, 100%, $E$13) + CHOOSE(CONTROL!$C$25, 0.0003, 0)</f>
        <v>88.967999999999989</v>
      </c>
      <c r="D788" s="4">
        <f>81.0544 * CHOOSE(CONTROL!$C$6, $C$13, 100%, $E$13) + CHOOSE(CONTROL!$C$25, 0, 0)</f>
        <v>81.054400000000001</v>
      </c>
      <c r="E788" s="4">
        <f>493.478060761242 * CHOOSE(CONTROL!$C$6, $C$13, 100%, $E$13) + CHOOSE(CONTROL!$C$25, 0, 0)</f>
        <v>493.47806076124198</v>
      </c>
    </row>
    <row r="789" spans="1:5" ht="15">
      <c r="A789" s="13">
        <v>65897</v>
      </c>
      <c r="B789" s="4">
        <f>91.3732 * CHOOSE(CONTROL!$C$6, $C$13, 100%, $E$13) + CHOOSE(CONTROL!$C$25, 0.0238, 0)</f>
        <v>91.396999999999991</v>
      </c>
      <c r="C789" s="4">
        <f>91.0607 * CHOOSE(CONTROL!$C$6, $C$13, 100%, $E$13) + CHOOSE(CONTROL!$C$25, 0.0238, 0)</f>
        <v>91.084499999999991</v>
      </c>
      <c r="D789" s="4">
        <f>80.1642 * CHOOSE(CONTROL!$C$6, $C$13, 100%, $E$13) + CHOOSE(CONTROL!$C$25, 0, 0)</f>
        <v>80.164199999999994</v>
      </c>
      <c r="E789" s="4">
        <f>505.294555797644 * CHOOSE(CONTROL!$C$6, $C$13, 100%, $E$13) + CHOOSE(CONTROL!$C$25, 0, 0)</f>
        <v>505.29455579764402</v>
      </c>
    </row>
    <row r="790" spans="1:5" ht="15">
      <c r="A790" s="13">
        <v>65927</v>
      </c>
      <c r="B790" s="4">
        <f>91.6564 * CHOOSE(CONTROL!$C$6, $C$13, 100%, $E$13) + CHOOSE(CONTROL!$C$25, 0.0238, 0)</f>
        <v>91.680199999999999</v>
      </c>
      <c r="C790" s="4">
        <f>91.3439 * CHOOSE(CONTROL!$C$6, $C$13, 100%, $E$13) + CHOOSE(CONTROL!$C$25, 0.0238, 0)</f>
        <v>91.367699999999999</v>
      </c>
      <c r="D790" s="4">
        <f>80.8892 * CHOOSE(CONTROL!$C$6, $C$13, 100%, $E$13) + CHOOSE(CONTROL!$C$25, 0, 0)</f>
        <v>80.889200000000002</v>
      </c>
      <c r="E790" s="4">
        <f>506.893376615531 * CHOOSE(CONTROL!$C$6, $C$13, 100%, $E$13) + CHOOSE(CONTROL!$C$25, 0, 0)</f>
        <v>506.893376615531</v>
      </c>
    </row>
    <row r="791" spans="1:5" ht="15">
      <c r="A791" s="13">
        <v>65958</v>
      </c>
      <c r="B791" s="4">
        <f>91.6278 * CHOOSE(CONTROL!$C$6, $C$13, 100%, $E$13) + CHOOSE(CONTROL!$C$25, 0.0238, 0)</f>
        <v>91.651599999999988</v>
      </c>
      <c r="C791" s="4">
        <f>91.3153 * CHOOSE(CONTROL!$C$6, $C$13, 100%, $E$13) + CHOOSE(CONTROL!$C$25, 0.0238, 0)</f>
        <v>91.339099999999988</v>
      </c>
      <c r="D791" s="4">
        <f>82.1974 * CHOOSE(CONTROL!$C$6, $C$13, 100%, $E$13) + CHOOSE(CONTROL!$C$25, 0, 0)</f>
        <v>82.197400000000002</v>
      </c>
      <c r="E791" s="4">
        <f>506.732150986836 * CHOOSE(CONTROL!$C$6, $C$13, 100%, $E$13) + CHOOSE(CONTROL!$C$25, 0, 0)</f>
        <v>506.73215098683602</v>
      </c>
    </row>
    <row r="792" spans="1:5" ht="15">
      <c r="A792" s="13">
        <v>65989</v>
      </c>
      <c r="B792" s="4">
        <f>93.7767 * CHOOSE(CONTROL!$C$6, $C$13, 100%, $E$13) + CHOOSE(CONTROL!$C$25, 0.0238, 0)</f>
        <v>93.8005</v>
      </c>
      <c r="C792" s="4">
        <f>93.4642 * CHOOSE(CONTROL!$C$6, $C$13, 100%, $E$13) + CHOOSE(CONTROL!$C$25, 0.0238, 0)</f>
        <v>93.488</v>
      </c>
      <c r="D792" s="4">
        <f>81.3335 * CHOOSE(CONTROL!$C$6, $C$13, 100%, $E$13) + CHOOSE(CONTROL!$C$25, 0, 0)</f>
        <v>81.333500000000001</v>
      </c>
      <c r="E792" s="4">
        <f>518.864379546098 * CHOOSE(CONTROL!$C$6, $C$13, 100%, $E$13) + CHOOSE(CONTROL!$C$25, 0, 0)</f>
        <v>518.86437954609801</v>
      </c>
    </row>
    <row r="793" spans="1:5" ht="15">
      <c r="A793" s="13">
        <v>66019</v>
      </c>
      <c r="B793" s="4">
        <f>90.1143 * CHOOSE(CONTROL!$C$6, $C$13, 100%, $E$13) + CHOOSE(CONTROL!$C$25, 0.0238, 0)</f>
        <v>90.138099999999994</v>
      </c>
      <c r="C793" s="4">
        <f>89.8018 * CHOOSE(CONTROL!$C$6, $C$13, 100%, $E$13) + CHOOSE(CONTROL!$C$25, 0.0238, 0)</f>
        <v>89.825599999999994</v>
      </c>
      <c r="D793" s="4">
        <f>80.9253 * CHOOSE(CONTROL!$C$6, $C$13, 100%, $E$13) + CHOOSE(CONTROL!$C$25, 0, 0)</f>
        <v>80.925299999999993</v>
      </c>
      <c r="E793" s="4">
        <f>498.187192666027 * CHOOSE(CONTROL!$C$6, $C$13, 100%, $E$13) + CHOOSE(CONTROL!$C$25, 0, 0)</f>
        <v>498.18719266602699</v>
      </c>
    </row>
    <row r="794" spans="1:5" ht="15">
      <c r="A794" s="13">
        <v>66050</v>
      </c>
      <c r="B794" s="4">
        <f>87.1825 * CHOOSE(CONTROL!$C$6, $C$13, 100%, $E$13) + CHOOSE(CONTROL!$C$25, 0.0003, 0)</f>
        <v>87.1828</v>
      </c>
      <c r="C794" s="4">
        <f>86.87 * CHOOSE(CONTROL!$C$6, $C$13, 100%, $E$13) + CHOOSE(CONTROL!$C$25, 0.0003, 0)</f>
        <v>86.8703</v>
      </c>
      <c r="D794" s="4">
        <f>79.8323 * CHOOSE(CONTROL!$C$6, $C$13, 100%, $E$13) + CHOOSE(CONTROL!$C$25, 0, 0)</f>
        <v>79.832300000000004</v>
      </c>
      <c r="E794" s="4">
        <f>481.634694786725 * CHOOSE(CONTROL!$C$6, $C$13, 100%, $E$13) + CHOOSE(CONTROL!$C$25, 0, 0)</f>
        <v>481.63469478672499</v>
      </c>
    </row>
    <row r="795" spans="1:5" ht="15">
      <c r="A795" s="13">
        <v>66080</v>
      </c>
      <c r="B795" s="4">
        <f>85.2942 * CHOOSE(CONTROL!$C$6, $C$13, 100%, $E$13) + CHOOSE(CONTROL!$C$25, 0.0003, 0)</f>
        <v>85.294499999999999</v>
      </c>
      <c r="C795" s="4">
        <f>84.9817 * CHOOSE(CONTROL!$C$6, $C$13, 100%, $E$13) + CHOOSE(CONTROL!$C$25, 0.0003, 0)</f>
        <v>84.981999999999999</v>
      </c>
      <c r="D795" s="4">
        <f>79.4566 * CHOOSE(CONTROL!$C$6, $C$13, 100%, $E$13) + CHOOSE(CONTROL!$C$25, 0, 0)</f>
        <v>79.456599999999995</v>
      </c>
      <c r="E795" s="4">
        <f>470.9736500893 * CHOOSE(CONTROL!$C$6, $C$13, 100%, $E$13) + CHOOSE(CONTROL!$C$25, 0, 0)</f>
        <v>470.97365008930001</v>
      </c>
    </row>
    <row r="796" spans="1:5" ht="15">
      <c r="A796" s="13">
        <v>66111</v>
      </c>
      <c r="B796" s="4">
        <f>83.9878 * CHOOSE(CONTROL!$C$6, $C$13, 100%, $E$13) + CHOOSE(CONTROL!$C$25, 0.0003, 0)</f>
        <v>83.988099999999989</v>
      </c>
      <c r="C796" s="4">
        <f>83.6753 * CHOOSE(CONTROL!$C$6, $C$13, 100%, $E$13) + CHOOSE(CONTROL!$C$25, 0.0003, 0)</f>
        <v>83.675599999999989</v>
      </c>
      <c r="D796" s="4">
        <f>76.6902 * CHOOSE(CONTROL!$C$6, $C$13, 100%, $E$13) + CHOOSE(CONTROL!$C$25, 0, 0)</f>
        <v>76.690200000000004</v>
      </c>
      <c r="E796" s="4">
        <f>463.597577576527 * CHOOSE(CONTROL!$C$6, $C$13, 100%, $E$13) + CHOOSE(CONTROL!$C$25, 0, 0)</f>
        <v>463.59757757652699</v>
      </c>
    </row>
    <row r="797" spans="1:5" ht="15">
      <c r="A797" s="13">
        <v>66142</v>
      </c>
      <c r="B797" s="4">
        <f>81.8651 * CHOOSE(CONTROL!$C$6, $C$13, 100%, $E$13) + CHOOSE(CONTROL!$C$25, 0.0003, 0)</f>
        <v>81.865399999999994</v>
      </c>
      <c r="C797" s="4">
        <f>81.5526 * CHOOSE(CONTROL!$C$6, $C$13, 100%, $E$13) + CHOOSE(CONTROL!$C$25, 0.0003, 0)</f>
        <v>81.552899999999994</v>
      </c>
      <c r="D797" s="4">
        <f>74.1476 * CHOOSE(CONTROL!$C$6, $C$13, 100%, $E$13) + CHOOSE(CONTROL!$C$25, 0, 0)</f>
        <v>74.147599999999997</v>
      </c>
      <c r="E797" s="4">
        <f>450.303365681458 * CHOOSE(CONTROL!$C$6, $C$13, 100%, $E$13) + CHOOSE(CONTROL!$C$25, 0, 0)</f>
        <v>450.30336568145799</v>
      </c>
    </row>
    <row r="798" spans="1:5" ht="15">
      <c r="A798" s="13">
        <v>66170</v>
      </c>
      <c r="B798" s="4">
        <f>83.7644 * CHOOSE(CONTROL!$C$6, $C$13, 100%, $E$13) + CHOOSE(CONTROL!$C$25, 0.0003, 0)</f>
        <v>83.764699999999991</v>
      </c>
      <c r="C798" s="4">
        <f>83.4519 * CHOOSE(CONTROL!$C$6, $C$13, 100%, $E$13) + CHOOSE(CONTROL!$C$25, 0.0003, 0)</f>
        <v>83.452199999999991</v>
      </c>
      <c r="D798" s="4">
        <f>76.708 * CHOOSE(CONTROL!$C$6, $C$13, 100%, $E$13) + CHOOSE(CONTROL!$C$25, 0, 0)</f>
        <v>76.707999999999998</v>
      </c>
      <c r="E798" s="4">
        <f>460.995342187521 * CHOOSE(CONTROL!$C$6, $C$13, 100%, $E$13) + CHOOSE(CONTROL!$C$25, 0, 0)</f>
        <v>460.99534218752098</v>
      </c>
    </row>
    <row r="799" spans="1:5" ht="15">
      <c r="A799" s="13">
        <v>66201</v>
      </c>
      <c r="B799" s="4">
        <f>88.752 * CHOOSE(CONTROL!$C$6, $C$13, 100%, $E$13) + CHOOSE(CONTROL!$C$25, 0.0003, 0)</f>
        <v>88.752299999999991</v>
      </c>
      <c r="C799" s="4">
        <f>88.4395 * CHOOSE(CONTROL!$C$6, $C$13, 100%, $E$13) + CHOOSE(CONTROL!$C$25, 0.0003, 0)</f>
        <v>88.439799999999991</v>
      </c>
      <c r="D799" s="4">
        <f>80.716 * CHOOSE(CONTROL!$C$6, $C$13, 100%, $E$13) + CHOOSE(CONTROL!$C$25, 0, 0)</f>
        <v>80.715999999999994</v>
      </c>
      <c r="E799" s="4">
        <f>489.073040698582 * CHOOSE(CONTROL!$C$6, $C$13, 100%, $E$13) + CHOOSE(CONTROL!$C$25, 0, 0)</f>
        <v>489.07304069858202</v>
      </c>
    </row>
    <row r="800" spans="1:5" ht="15">
      <c r="A800" s="13">
        <v>66231</v>
      </c>
      <c r="B800" s="4">
        <f>92.2957 * CHOOSE(CONTROL!$C$6, $C$13, 100%, $E$13) + CHOOSE(CONTROL!$C$25, 0.0003, 0)</f>
        <v>92.295999999999992</v>
      </c>
      <c r="C800" s="4">
        <f>91.9832 * CHOOSE(CONTROL!$C$6, $C$13, 100%, $E$13) + CHOOSE(CONTROL!$C$25, 0.0003, 0)</f>
        <v>91.983499999999992</v>
      </c>
      <c r="D800" s="4">
        <f>83.0248 * CHOOSE(CONTROL!$C$6, $C$13, 100%, $E$13) + CHOOSE(CONTROL!$C$25, 0, 0)</f>
        <v>83.024799999999999</v>
      </c>
      <c r="E800" s="4">
        <f>509.022619675221 * CHOOSE(CONTROL!$C$6, $C$13, 100%, $E$13) + CHOOSE(CONTROL!$C$25, 0, 0)</f>
        <v>509.02261967522099</v>
      </c>
    </row>
    <row r="801" spans="1:5" ht="15">
      <c r="A801" s="13">
        <v>66262</v>
      </c>
      <c r="B801" s="4">
        <f>94.4609 * CHOOSE(CONTROL!$C$6, $C$13, 100%, $E$13) + CHOOSE(CONTROL!$C$25, 0.0238, 0)</f>
        <v>94.484699999999989</v>
      </c>
      <c r="C801" s="4">
        <f>94.1484 * CHOOSE(CONTROL!$C$6, $C$13, 100%, $E$13) + CHOOSE(CONTROL!$C$25, 0.0238, 0)</f>
        <v>94.172199999999989</v>
      </c>
      <c r="D801" s="4">
        <f>82.1125 * CHOOSE(CONTROL!$C$6, $C$13, 100%, $E$13) + CHOOSE(CONTROL!$C$25, 0, 0)</f>
        <v>82.112499999999997</v>
      </c>
      <c r="E801" s="4">
        <f>521.211334305269 * CHOOSE(CONTROL!$C$6, $C$13, 100%, $E$13) + CHOOSE(CONTROL!$C$25, 0, 0)</f>
        <v>521.21133430526902</v>
      </c>
    </row>
    <row r="802" spans="1:5" ht="15">
      <c r="A802" s="13">
        <v>66292</v>
      </c>
      <c r="B802" s="4">
        <f>94.7538 * CHOOSE(CONTROL!$C$6, $C$13, 100%, $E$13) + CHOOSE(CONTROL!$C$25, 0.0238, 0)</f>
        <v>94.777599999999993</v>
      </c>
      <c r="C802" s="4">
        <f>94.4413 * CHOOSE(CONTROL!$C$6, $C$13, 100%, $E$13) + CHOOSE(CONTROL!$C$25, 0.0238, 0)</f>
        <v>94.465099999999993</v>
      </c>
      <c r="D802" s="4">
        <f>82.8555 * CHOOSE(CONTROL!$C$6, $C$13, 100%, $E$13) + CHOOSE(CONTROL!$C$25, 0, 0)</f>
        <v>82.855500000000006</v>
      </c>
      <c r="E802" s="4">
        <f>522.86051797892 * CHOOSE(CONTROL!$C$6, $C$13, 100%, $E$13) + CHOOSE(CONTROL!$C$25, 0, 0)</f>
        <v>522.86051797892003</v>
      </c>
    </row>
    <row r="803" spans="1:5" ht="15">
      <c r="A803" s="13">
        <v>66323</v>
      </c>
      <c r="B803" s="4">
        <f>94.7243 * CHOOSE(CONTROL!$C$6, $C$13, 100%, $E$13) + CHOOSE(CONTROL!$C$25, 0.0238, 0)</f>
        <v>94.748099999999994</v>
      </c>
      <c r="C803" s="4">
        <f>94.4118 * CHOOSE(CONTROL!$C$6, $C$13, 100%, $E$13) + CHOOSE(CONTROL!$C$25, 0.0238, 0)</f>
        <v>94.435599999999994</v>
      </c>
      <c r="D803" s="4">
        <f>84.1962 * CHOOSE(CONTROL!$C$6, $C$13, 100%, $E$13) + CHOOSE(CONTROL!$C$25, 0, 0)</f>
        <v>84.196200000000005</v>
      </c>
      <c r="E803" s="4">
        <f>522.694213742922 * CHOOSE(CONTROL!$C$6, $C$13, 100%, $E$13) + CHOOSE(CONTROL!$C$25, 0, 0)</f>
        <v>522.69421374292199</v>
      </c>
    </row>
    <row r="804" spans="1:5" ht="15">
      <c r="A804" s="13">
        <v>66354</v>
      </c>
      <c r="B804" s="4">
        <f>96.9473 * CHOOSE(CONTROL!$C$6, $C$13, 100%, $E$13) + CHOOSE(CONTROL!$C$25, 0.0238, 0)</f>
        <v>96.971099999999993</v>
      </c>
      <c r="C804" s="4">
        <f>96.6348 * CHOOSE(CONTROL!$C$6, $C$13, 100%, $E$13) + CHOOSE(CONTROL!$C$25, 0.0238, 0)</f>
        <v>96.658599999999993</v>
      </c>
      <c r="D804" s="4">
        <f>83.3108 * CHOOSE(CONTROL!$C$6, $C$13, 100%, $E$13) + CHOOSE(CONTROL!$C$25, 0, 0)</f>
        <v>83.3108</v>
      </c>
      <c r="E804" s="4">
        <f>535.2086075018 * CHOOSE(CONTROL!$C$6, $C$13, 100%, $E$13) + CHOOSE(CONTROL!$C$25, 0, 0)</f>
        <v>535.20860750179997</v>
      </c>
    </row>
    <row r="805" spans="1:5" ht="15">
      <c r="A805" s="13">
        <v>66384</v>
      </c>
      <c r="B805" s="4">
        <f>93.1586 * CHOOSE(CONTROL!$C$6, $C$13, 100%, $E$13) + CHOOSE(CONTROL!$C$25, 0.0238, 0)</f>
        <v>93.182400000000001</v>
      </c>
      <c r="C805" s="4">
        <f>92.8461 * CHOOSE(CONTROL!$C$6, $C$13, 100%, $E$13) + CHOOSE(CONTROL!$C$25, 0.0238, 0)</f>
        <v>92.869900000000001</v>
      </c>
      <c r="D805" s="4">
        <f>82.8925 * CHOOSE(CONTROL!$C$6, $C$13, 100%, $E$13) + CHOOSE(CONTROL!$C$25, 0, 0)</f>
        <v>82.892499999999998</v>
      </c>
      <c r="E805" s="4">
        <f>513.880089235007 * CHOOSE(CONTROL!$C$6, $C$13, 100%, $E$13) + CHOOSE(CONTROL!$C$25, 0, 0)</f>
        <v>513.88008923500695</v>
      </c>
    </row>
    <row r="806" spans="1:5" ht="15">
      <c r="A806" s="13">
        <v>66415</v>
      </c>
      <c r="B806" s="4">
        <f>90.1256 * CHOOSE(CONTROL!$C$6, $C$13, 100%, $E$13) + CHOOSE(CONTROL!$C$25, 0.0003, 0)</f>
        <v>90.125900000000001</v>
      </c>
      <c r="C806" s="4">
        <f>89.8131 * CHOOSE(CONTROL!$C$6, $C$13, 100%, $E$13) + CHOOSE(CONTROL!$C$25, 0.0003, 0)</f>
        <v>89.813400000000001</v>
      </c>
      <c r="D806" s="4">
        <f>81.7724 * CHOOSE(CONTROL!$C$6, $C$13, 100%, $E$13) + CHOOSE(CONTROL!$C$25, 0, 0)</f>
        <v>81.772400000000005</v>
      </c>
      <c r="E806" s="4">
        <f>496.806187672506 * CHOOSE(CONTROL!$C$6, $C$13, 100%, $E$13) + CHOOSE(CONTROL!$C$25, 0, 0)</f>
        <v>496.80618767250598</v>
      </c>
    </row>
    <row r="807" spans="1:5" ht="15">
      <c r="A807" s="13">
        <v>66445</v>
      </c>
      <c r="B807" s="4">
        <f>88.1722 * CHOOSE(CONTROL!$C$6, $C$13, 100%, $E$13) + CHOOSE(CONTROL!$C$25, 0.0003, 0)</f>
        <v>88.172499999999999</v>
      </c>
      <c r="C807" s="4">
        <f>87.8597 * CHOOSE(CONTROL!$C$6, $C$13, 100%, $E$13) + CHOOSE(CONTROL!$C$25, 0.0003, 0)</f>
        <v>87.86</v>
      </c>
      <c r="D807" s="4">
        <f>81.3873 * CHOOSE(CONTROL!$C$6, $C$13, 100%, $E$13) + CHOOSE(CONTROL!$C$25, 0, 0)</f>
        <v>81.387299999999996</v>
      </c>
      <c r="E807" s="4">
        <f>485.809320067113 * CHOOSE(CONTROL!$C$6, $C$13, 100%, $E$13) + CHOOSE(CONTROL!$C$25, 0, 0)</f>
        <v>485.80932006711299</v>
      </c>
    </row>
    <row r="808" spans="1:5" ht="15">
      <c r="A808" s="13">
        <v>66476</v>
      </c>
      <c r="B808" s="4">
        <f>86.8207 * CHOOSE(CONTROL!$C$6, $C$13, 100%, $E$13) + CHOOSE(CONTROL!$C$25, 0.0003, 0)</f>
        <v>86.820999999999998</v>
      </c>
      <c r="C808" s="4">
        <f>86.5082 * CHOOSE(CONTROL!$C$6, $C$13, 100%, $E$13) + CHOOSE(CONTROL!$C$25, 0.0003, 0)</f>
        <v>86.508499999999998</v>
      </c>
      <c r="D808" s="4">
        <f>78.5523 * CHOOSE(CONTROL!$C$6, $C$13, 100%, $E$13) + CHOOSE(CONTROL!$C$25, 0, 0)</f>
        <v>78.552300000000002</v>
      </c>
      <c r="E808" s="4">
        <f>478.200901270187 * CHOOSE(CONTROL!$C$6, $C$13, 100%, $E$13) + CHOOSE(CONTROL!$C$25, 0, 0)</f>
        <v>478.20090127018699</v>
      </c>
    </row>
    <row r="809" spans="1:5" ht="15">
      <c r="A809" s="13">
        <v>66507</v>
      </c>
      <c r="B809" s="4">
        <f>84.6247 * CHOOSE(CONTROL!$C$6, $C$13, 100%, $E$13) + CHOOSE(CONTROL!$C$25, 0.0003, 0)</f>
        <v>84.625</v>
      </c>
      <c r="C809" s="4">
        <f>84.3122 * CHOOSE(CONTROL!$C$6, $C$13, 100%, $E$13) + CHOOSE(CONTROL!$C$25, 0.0003, 0)</f>
        <v>84.3125</v>
      </c>
      <c r="D809" s="4">
        <f>75.9467 * CHOOSE(CONTROL!$C$6, $C$13, 100%, $E$13) + CHOOSE(CONTROL!$C$25, 0, 0)</f>
        <v>75.946700000000007</v>
      </c>
      <c r="E809" s="4">
        <f>464.487921700424 * CHOOSE(CONTROL!$C$6, $C$13, 100%, $E$13) + CHOOSE(CONTROL!$C$25, 0, 0)</f>
        <v>464.48792170042401</v>
      </c>
    </row>
    <row r="810" spans="1:5" ht="15">
      <c r="A810" s="13">
        <v>66535</v>
      </c>
      <c r="B810" s="4">
        <f>86.5895 * CHOOSE(CONTROL!$C$6, $C$13, 100%, $E$13) + CHOOSE(CONTROL!$C$25, 0.0003, 0)</f>
        <v>86.589799999999997</v>
      </c>
      <c r="C810" s="4">
        <f>86.277 * CHOOSE(CONTROL!$C$6, $C$13, 100%, $E$13) + CHOOSE(CONTROL!$C$25, 0.0003, 0)</f>
        <v>86.277299999999997</v>
      </c>
      <c r="D810" s="4">
        <f>78.5706 * CHOOSE(CONTROL!$C$6, $C$13, 100%, $E$13) + CHOOSE(CONTROL!$C$25, 0, 0)</f>
        <v>78.570599999999999</v>
      </c>
      <c r="E810" s="4">
        <f>475.516695466428 * CHOOSE(CONTROL!$C$6, $C$13, 100%, $E$13) + CHOOSE(CONTROL!$C$25, 0, 0)</f>
        <v>475.51669546642802</v>
      </c>
    </row>
    <row r="811" spans="1:5" ht="15">
      <c r="A811" s="13">
        <v>66566</v>
      </c>
      <c r="B811" s="4">
        <f>91.7492 * CHOOSE(CONTROL!$C$6, $C$13, 100%, $E$13) + CHOOSE(CONTROL!$C$25, 0.0003, 0)</f>
        <v>91.749499999999998</v>
      </c>
      <c r="C811" s="4">
        <f>91.4367 * CHOOSE(CONTROL!$C$6, $C$13, 100%, $E$13) + CHOOSE(CONTROL!$C$25, 0.0003, 0)</f>
        <v>91.436999999999998</v>
      </c>
      <c r="D811" s="4">
        <f>82.678 * CHOOSE(CONTROL!$C$6, $C$13, 100%, $E$13) + CHOOSE(CONTROL!$C$25, 0, 0)</f>
        <v>82.677999999999997</v>
      </c>
      <c r="E811" s="4">
        <f>504.478841480587 * CHOOSE(CONTROL!$C$6, $C$13, 100%, $E$13) + CHOOSE(CONTROL!$C$25, 0, 0)</f>
        <v>504.47884148058699</v>
      </c>
    </row>
    <row r="812" spans="1:5" ht="15">
      <c r="A812" s="13">
        <v>66596</v>
      </c>
      <c r="B812" s="4">
        <f>95.4152 * CHOOSE(CONTROL!$C$6, $C$13, 100%, $E$13) + CHOOSE(CONTROL!$C$25, 0.0003, 0)</f>
        <v>95.415499999999994</v>
      </c>
      <c r="C812" s="4">
        <f>95.1027 * CHOOSE(CONTROL!$C$6, $C$13, 100%, $E$13) + CHOOSE(CONTROL!$C$25, 0.0003, 0)</f>
        <v>95.102999999999994</v>
      </c>
      <c r="D812" s="4">
        <f>85.0441 * CHOOSE(CONTROL!$C$6, $C$13, 100%, $E$13) + CHOOSE(CONTROL!$C$25, 0, 0)</f>
        <v>85.0441</v>
      </c>
      <c r="E812" s="4">
        <f>525.056832194991 * CHOOSE(CONTROL!$C$6, $C$13, 100%, $E$13) + CHOOSE(CONTROL!$C$25, 0, 0)</f>
        <v>525.05683219499099</v>
      </c>
    </row>
    <row r="813" spans="1:5" ht="15">
      <c r="A813" s="13">
        <v>66627</v>
      </c>
      <c r="B813" s="4">
        <f>97.6551 * CHOOSE(CONTROL!$C$6, $C$13, 100%, $E$13) + CHOOSE(CONTROL!$C$25, 0.0238, 0)</f>
        <v>97.678899999999999</v>
      </c>
      <c r="C813" s="4">
        <f>97.3426 * CHOOSE(CONTROL!$C$6, $C$13, 100%, $E$13) + CHOOSE(CONTROL!$C$25, 0.0238, 0)</f>
        <v>97.366399999999999</v>
      </c>
      <c r="D813" s="4">
        <f>84.1091 * CHOOSE(CONTROL!$C$6, $C$13, 100%, $E$13) + CHOOSE(CONTROL!$C$25, 0, 0)</f>
        <v>84.109099999999998</v>
      </c>
      <c r="E813" s="4">
        <f>537.629491335885 * CHOOSE(CONTROL!$C$6, $C$13, 100%, $E$13) + CHOOSE(CONTROL!$C$25, 0, 0)</f>
        <v>537.62949133588495</v>
      </c>
    </row>
    <row r="814" spans="1:5" ht="15">
      <c r="A814" s="13">
        <v>66657</v>
      </c>
      <c r="B814" s="4">
        <f>97.9582 * CHOOSE(CONTROL!$C$6, $C$13, 100%, $E$13) + CHOOSE(CONTROL!$C$25, 0.0238, 0)</f>
        <v>97.981999999999999</v>
      </c>
      <c r="C814" s="4">
        <f>97.6457 * CHOOSE(CONTROL!$C$6, $C$13, 100%, $E$13) + CHOOSE(CONTROL!$C$25, 0.0238, 0)</f>
        <v>97.669499999999999</v>
      </c>
      <c r="D814" s="4">
        <f>84.8706 * CHOOSE(CONTROL!$C$6, $C$13, 100%, $E$13) + CHOOSE(CONTROL!$C$25, 0, 0)</f>
        <v>84.870599999999996</v>
      </c>
      <c r="E814" s="4">
        <f>539.330624295256 * CHOOSE(CONTROL!$C$6, $C$13, 100%, $E$13) + CHOOSE(CONTROL!$C$25, 0, 0)</f>
        <v>539.33062429525603</v>
      </c>
    </row>
    <row r="815" spans="1:5" ht="15">
      <c r="A815" s="13">
        <v>66688</v>
      </c>
      <c r="B815" s="4">
        <f>97.9276 * CHOOSE(CONTROL!$C$6, $C$13, 100%, $E$13) + CHOOSE(CONTROL!$C$25, 0.0238, 0)</f>
        <v>97.951399999999992</v>
      </c>
      <c r="C815" s="4">
        <f>97.6151 * CHOOSE(CONTROL!$C$6, $C$13, 100%, $E$13) + CHOOSE(CONTROL!$C$25, 0.0238, 0)</f>
        <v>97.638899999999992</v>
      </c>
      <c r="D815" s="4">
        <f>86.2445 * CHOOSE(CONTROL!$C$6, $C$13, 100%, $E$13) + CHOOSE(CONTROL!$C$25, 0, 0)</f>
        <v>86.244500000000002</v>
      </c>
      <c r="E815" s="4">
        <f>539.159081475824 * CHOOSE(CONTROL!$C$6, $C$13, 100%, $E$13) + CHOOSE(CONTROL!$C$25, 0, 0)</f>
        <v>539.159081475824</v>
      </c>
    </row>
    <row r="816" spans="1:5" ht="15">
      <c r="A816" s="13">
        <v>66719</v>
      </c>
      <c r="B816" s="4">
        <f>100.2273 * CHOOSE(CONTROL!$C$6, $C$13, 100%, $E$13) + CHOOSE(CONTROL!$C$25, 0.0238, 0)</f>
        <v>100.25109999999999</v>
      </c>
      <c r="C816" s="4">
        <f>99.9148 * CHOOSE(CONTROL!$C$6, $C$13, 100%, $E$13) + CHOOSE(CONTROL!$C$25, 0.0238, 0)</f>
        <v>99.938599999999994</v>
      </c>
      <c r="D816" s="4">
        <f>85.3371 * CHOOSE(CONTROL!$C$6, $C$13, 100%, $E$13) + CHOOSE(CONTROL!$C$25, 0, 0)</f>
        <v>85.337100000000007</v>
      </c>
      <c r="E816" s="4">
        <f>552.067678638107 * CHOOSE(CONTROL!$C$6, $C$13, 100%, $E$13) + CHOOSE(CONTROL!$C$25, 0, 0)</f>
        <v>552.06767863810705</v>
      </c>
    </row>
    <row r="817" spans="1:5" ht="15">
      <c r="A817" s="13">
        <v>66749</v>
      </c>
      <c r="B817" s="4">
        <f>96.3079 * CHOOSE(CONTROL!$C$6, $C$13, 100%, $E$13) + CHOOSE(CONTROL!$C$25, 0.0238, 0)</f>
        <v>96.331699999999998</v>
      </c>
      <c r="C817" s="4">
        <f>95.9954 * CHOOSE(CONTROL!$C$6, $C$13, 100%, $E$13) + CHOOSE(CONTROL!$C$25, 0.0238, 0)</f>
        <v>96.019199999999998</v>
      </c>
      <c r="D817" s="4">
        <f>84.9084 * CHOOSE(CONTROL!$C$6, $C$13, 100%, $E$13) + CHOOSE(CONTROL!$C$25, 0, 0)</f>
        <v>84.9084</v>
      </c>
      <c r="E817" s="4">
        <f>530.06731204591 * CHOOSE(CONTROL!$C$6, $C$13, 100%, $E$13) + CHOOSE(CONTROL!$C$25, 0, 0)</f>
        <v>530.06731204590994</v>
      </c>
    </row>
    <row r="818" spans="1:5" ht="15">
      <c r="A818" s="13">
        <v>66780</v>
      </c>
      <c r="B818" s="4">
        <f>93.1703 * CHOOSE(CONTROL!$C$6, $C$13, 100%, $E$13) + CHOOSE(CONTROL!$C$25, 0.0003, 0)</f>
        <v>93.170599999999993</v>
      </c>
      <c r="C818" s="4">
        <f>92.8578 * CHOOSE(CONTROL!$C$6, $C$13, 100%, $E$13) + CHOOSE(CONTROL!$C$25, 0.0003, 0)</f>
        <v>92.858099999999993</v>
      </c>
      <c r="D818" s="4">
        <f>83.7606 * CHOOSE(CONTROL!$C$6, $C$13, 100%, $E$13) + CHOOSE(CONTROL!$C$25, 0, 0)</f>
        <v>83.760599999999997</v>
      </c>
      <c r="E818" s="4">
        <f>512.45558258419 * CHOOSE(CONTROL!$C$6, $C$13, 100%, $E$13) + CHOOSE(CONTROL!$C$25, 0, 0)</f>
        <v>512.45558258418998</v>
      </c>
    </row>
    <row r="819" spans="1:5" ht="15">
      <c r="A819" s="13">
        <v>66810</v>
      </c>
      <c r="B819" s="4">
        <f>91.1495 * CHOOSE(CONTROL!$C$6, $C$13, 100%, $E$13) + CHOOSE(CONTROL!$C$25, 0.0003, 0)</f>
        <v>91.149799999999999</v>
      </c>
      <c r="C819" s="4">
        <f>90.837 * CHOOSE(CONTROL!$C$6, $C$13, 100%, $E$13) + CHOOSE(CONTROL!$C$25, 0.0003, 0)</f>
        <v>90.837299999999999</v>
      </c>
      <c r="D819" s="4">
        <f>83.366 * CHOOSE(CONTROL!$C$6, $C$13, 100%, $E$13) + CHOOSE(CONTROL!$C$25, 0, 0)</f>
        <v>83.366</v>
      </c>
      <c r="E819" s="4">
        <f>501.112313649227 * CHOOSE(CONTROL!$C$6, $C$13, 100%, $E$13) + CHOOSE(CONTROL!$C$25, 0, 0)</f>
        <v>501.11231364922702</v>
      </c>
    </row>
    <row r="820" spans="1:5" ht="15">
      <c r="A820" s="13">
        <v>66841</v>
      </c>
      <c r="B820" s="4">
        <f>89.7513 * CHOOSE(CONTROL!$C$6, $C$13, 100%, $E$13) + CHOOSE(CONTROL!$C$25, 0.0003, 0)</f>
        <v>89.751599999999996</v>
      </c>
      <c r="C820" s="4">
        <f>89.4388 * CHOOSE(CONTROL!$C$6, $C$13, 100%, $E$13) + CHOOSE(CONTROL!$C$25, 0.0003, 0)</f>
        <v>89.439099999999996</v>
      </c>
      <c r="D820" s="4">
        <f>80.4606 * CHOOSE(CONTROL!$C$6, $C$13, 100%, $E$13) + CHOOSE(CONTROL!$C$25, 0, 0)</f>
        <v>80.460599999999999</v>
      </c>
      <c r="E820" s="4">
        <f>493.264229660198 * CHOOSE(CONTROL!$C$6, $C$13, 100%, $E$13) + CHOOSE(CONTROL!$C$25, 0, 0)</f>
        <v>493.264229660198</v>
      </c>
    </row>
    <row r="821" spans="1:5" ht="15">
      <c r="A821" s="13">
        <v>66872</v>
      </c>
      <c r="B821" s="4">
        <f>87.4796 * CHOOSE(CONTROL!$C$6, $C$13, 100%, $E$13) + CHOOSE(CONTROL!$C$25, 0.0003, 0)</f>
        <v>87.479900000000001</v>
      </c>
      <c r="C821" s="4">
        <f>87.1671 * CHOOSE(CONTROL!$C$6, $C$13, 100%, $E$13) + CHOOSE(CONTROL!$C$25, 0.0003, 0)</f>
        <v>87.167400000000001</v>
      </c>
      <c r="D821" s="4">
        <f>77.7904 * CHOOSE(CONTROL!$C$6, $C$13, 100%, $E$13) + CHOOSE(CONTROL!$C$25, 0, 0)</f>
        <v>77.790400000000005</v>
      </c>
      <c r="E821" s="4">
        <f>479.119291233988 * CHOOSE(CONTROL!$C$6, $C$13, 100%, $E$13) + CHOOSE(CONTROL!$C$25, 0, 0)</f>
        <v>479.11929123398801</v>
      </c>
    </row>
    <row r="822" spans="1:5" ht="15">
      <c r="A822" s="13">
        <v>66900</v>
      </c>
      <c r="B822" s="4">
        <f>89.5122 * CHOOSE(CONTROL!$C$6, $C$13, 100%, $E$13) + CHOOSE(CONTROL!$C$25, 0.0003, 0)</f>
        <v>89.512500000000003</v>
      </c>
      <c r="C822" s="4">
        <f>89.1997 * CHOOSE(CONTROL!$C$6, $C$13, 100%, $E$13) + CHOOSE(CONTROL!$C$25, 0.0003, 0)</f>
        <v>89.2</v>
      </c>
      <c r="D822" s="4">
        <f>80.4794 * CHOOSE(CONTROL!$C$6, $C$13, 100%, $E$13) + CHOOSE(CONTROL!$C$25, 0, 0)</f>
        <v>80.479399999999998</v>
      </c>
      <c r="E822" s="4">
        <f>490.495471373621 * CHOOSE(CONTROL!$C$6, $C$13, 100%, $E$13) + CHOOSE(CONTROL!$C$25, 0, 0)</f>
        <v>490.495471373621</v>
      </c>
    </row>
    <row r="823" spans="1:5" ht="15">
      <c r="A823" s="13">
        <v>66931</v>
      </c>
      <c r="B823" s="4">
        <f>94.8499 * CHOOSE(CONTROL!$C$6, $C$13, 100%, $E$13) + CHOOSE(CONTROL!$C$25, 0.0003, 0)</f>
        <v>94.850200000000001</v>
      </c>
      <c r="C823" s="4">
        <f>94.5374 * CHOOSE(CONTROL!$C$6, $C$13, 100%, $E$13) + CHOOSE(CONTROL!$C$25, 0.0003, 0)</f>
        <v>94.537700000000001</v>
      </c>
      <c r="D823" s="4">
        <f>84.6887 * CHOOSE(CONTROL!$C$6, $C$13, 100%, $E$13) + CHOOSE(CONTROL!$C$25, 0, 0)</f>
        <v>84.688699999999997</v>
      </c>
      <c r="E823" s="4">
        <f>520.369924987225 * CHOOSE(CONTROL!$C$6, $C$13, 100%, $E$13) + CHOOSE(CONTROL!$C$25, 0, 0)</f>
        <v>520.36992498722498</v>
      </c>
    </row>
    <row r="824" spans="1:5" ht="15">
      <c r="A824" s="13">
        <v>66961</v>
      </c>
      <c r="B824" s="4">
        <f>98.6424 * CHOOSE(CONTROL!$C$6, $C$13, 100%, $E$13) + CHOOSE(CONTROL!$C$25, 0.0003, 0)</f>
        <v>98.642699999999991</v>
      </c>
      <c r="C824" s="4">
        <f>98.3299 * CHOOSE(CONTROL!$C$6, $C$13, 100%, $E$13) + CHOOSE(CONTROL!$C$25, 0.0003, 0)</f>
        <v>98.330199999999991</v>
      </c>
      <c r="D824" s="4">
        <f>87.1134 * CHOOSE(CONTROL!$C$6, $C$13, 100%, $E$13) + CHOOSE(CONTROL!$C$25, 0, 0)</f>
        <v>87.113399999999999</v>
      </c>
      <c r="E824" s="4">
        <f>541.596122409133 * CHOOSE(CONTROL!$C$6, $C$13, 100%, $E$13) + CHOOSE(CONTROL!$C$25, 0, 0)</f>
        <v>541.59612240913305</v>
      </c>
    </row>
    <row r="825" spans="1:5" ht="15">
      <c r="A825" s="13">
        <v>66992</v>
      </c>
      <c r="B825" s="4">
        <f>100.9595 * CHOOSE(CONTROL!$C$6, $C$13, 100%, $E$13) + CHOOSE(CONTROL!$C$25, 0.0238, 0)</f>
        <v>100.9833</v>
      </c>
      <c r="C825" s="4">
        <f>100.647 * CHOOSE(CONTROL!$C$6, $C$13, 100%, $E$13) + CHOOSE(CONTROL!$C$25, 0.0238, 0)</f>
        <v>100.6708</v>
      </c>
      <c r="D825" s="4">
        <f>86.1553 * CHOOSE(CONTROL!$C$6, $C$13, 100%, $E$13) + CHOOSE(CONTROL!$C$25, 0, 0)</f>
        <v>86.155299999999997</v>
      </c>
      <c r="E825" s="4">
        <f>554.564820312966 * CHOOSE(CONTROL!$C$6, $C$13, 100%, $E$13) + CHOOSE(CONTROL!$C$25, 0, 0)</f>
        <v>554.56482031296605</v>
      </c>
    </row>
    <row r="826" spans="1:5" ht="15">
      <c r="A826" s="13">
        <v>67022</v>
      </c>
      <c r="B826" s="4">
        <f>101.273 * CHOOSE(CONTROL!$C$6, $C$13, 100%, $E$13) + CHOOSE(CONTROL!$C$25, 0.0238, 0)</f>
        <v>101.29679999999999</v>
      </c>
      <c r="C826" s="4">
        <f>100.9605 * CHOOSE(CONTROL!$C$6, $C$13, 100%, $E$13) + CHOOSE(CONTROL!$C$25, 0.0238, 0)</f>
        <v>100.98429999999999</v>
      </c>
      <c r="D826" s="4">
        <f>86.9356 * CHOOSE(CONTROL!$C$6, $C$13, 100%, $E$13) + CHOOSE(CONTROL!$C$25, 0, 0)</f>
        <v>86.935599999999994</v>
      </c>
      <c r="E826" s="4">
        <f>556.319538960557 * CHOOSE(CONTROL!$C$6, $C$13, 100%, $E$13) + CHOOSE(CONTROL!$C$25, 0, 0)</f>
        <v>556.319538960557</v>
      </c>
    </row>
    <row r="827" spans="1:5" ht="15">
      <c r="A827" s="13">
        <v>67053</v>
      </c>
      <c r="B827" s="4">
        <f>101.2414 * CHOOSE(CONTROL!$C$6, $C$13, 100%, $E$13) + CHOOSE(CONTROL!$C$25, 0.0238, 0)</f>
        <v>101.26519999999999</v>
      </c>
      <c r="C827" s="4">
        <f>100.9289 * CHOOSE(CONTROL!$C$6, $C$13, 100%, $E$13) + CHOOSE(CONTROL!$C$25, 0.0238, 0)</f>
        <v>100.95269999999999</v>
      </c>
      <c r="D827" s="4">
        <f>88.3436 * CHOOSE(CONTROL!$C$6, $C$13, 100%, $E$13) + CHOOSE(CONTROL!$C$25, 0, 0)</f>
        <v>88.343599999999995</v>
      </c>
      <c r="E827" s="4">
        <f>556.142592542312 * CHOOSE(CONTROL!$C$6, $C$13, 100%, $E$13) + CHOOSE(CONTROL!$C$25, 0, 0)</f>
        <v>556.14259254231195</v>
      </c>
    </row>
    <row r="828" spans="1:5" ht="15">
      <c r="A828" s="13">
        <v>67084</v>
      </c>
      <c r="B828" s="4">
        <f>103.6204 * CHOOSE(CONTROL!$C$6, $C$13, 100%, $E$13) + CHOOSE(CONTROL!$C$25, 0.0238, 0)</f>
        <v>103.6442</v>
      </c>
      <c r="C828" s="4">
        <f>103.3079 * CHOOSE(CONTROL!$C$6, $C$13, 100%, $E$13) + CHOOSE(CONTROL!$C$25, 0.0238, 0)</f>
        <v>103.3317</v>
      </c>
      <c r="D828" s="4">
        <f>87.4137 * CHOOSE(CONTROL!$C$6, $C$13, 100%, $E$13) + CHOOSE(CONTROL!$C$25, 0, 0)</f>
        <v>87.413700000000006</v>
      </c>
      <c r="E828" s="4">
        <f>569.457810515207 * CHOOSE(CONTROL!$C$6, $C$13, 100%, $E$13) + CHOOSE(CONTROL!$C$25, 0, 0)</f>
        <v>569.45781051520703</v>
      </c>
    </row>
    <row r="829" spans="1:5" ht="15">
      <c r="A829" s="13">
        <v>67114</v>
      </c>
      <c r="B829" s="4">
        <f>99.5658 * CHOOSE(CONTROL!$C$6, $C$13, 100%, $E$13) + CHOOSE(CONTROL!$C$25, 0.0238, 0)</f>
        <v>99.58959999999999</v>
      </c>
      <c r="C829" s="4">
        <f>99.2533 * CHOOSE(CONTROL!$C$6, $C$13, 100%, $E$13) + CHOOSE(CONTROL!$C$25, 0.0238, 0)</f>
        <v>99.27709999999999</v>
      </c>
      <c r="D829" s="4">
        <f>86.9744 * CHOOSE(CONTROL!$C$6, $C$13, 100%, $E$13) + CHOOSE(CONTROL!$C$25, 0, 0)</f>
        <v>86.974400000000003</v>
      </c>
      <c r="E829" s="4">
        <f>546.764432375356 * CHOOSE(CONTROL!$C$6, $C$13, 100%, $E$13) + CHOOSE(CONTROL!$C$25, 0, 0)</f>
        <v>546.76443237535602</v>
      </c>
    </row>
    <row r="830" spans="1:5" ht="15">
      <c r="A830" s="13">
        <v>67145</v>
      </c>
      <c r="B830" s="4">
        <f>96.32 * CHOOSE(CONTROL!$C$6, $C$13, 100%, $E$13) + CHOOSE(CONTROL!$C$25, 0.0003, 0)</f>
        <v>96.320299999999989</v>
      </c>
      <c r="C830" s="4">
        <f>96.0075 * CHOOSE(CONTROL!$C$6, $C$13, 100%, $E$13) + CHOOSE(CONTROL!$C$25, 0.0003, 0)</f>
        <v>96.007799999999989</v>
      </c>
      <c r="D830" s="4">
        <f>85.7981 * CHOOSE(CONTROL!$C$6, $C$13, 100%, $E$13) + CHOOSE(CONTROL!$C$25, 0, 0)</f>
        <v>85.798100000000005</v>
      </c>
      <c r="E830" s="4">
        <f>528.597933435592 * CHOOSE(CONTROL!$C$6, $C$13, 100%, $E$13) + CHOOSE(CONTROL!$C$25, 0, 0)</f>
        <v>528.59793343559204</v>
      </c>
    </row>
    <row r="831" spans="1:5" ht="15">
      <c r="A831" s="13">
        <v>67175</v>
      </c>
      <c r="B831" s="4">
        <f>94.2294 * CHOOSE(CONTROL!$C$6, $C$13, 100%, $E$13) + CHOOSE(CONTROL!$C$25, 0.0003, 0)</f>
        <v>94.229699999999994</v>
      </c>
      <c r="C831" s="4">
        <f>93.9169 * CHOOSE(CONTROL!$C$6, $C$13, 100%, $E$13) + CHOOSE(CONTROL!$C$25, 0.0003, 0)</f>
        <v>93.917199999999994</v>
      </c>
      <c r="D831" s="4">
        <f>85.3937 * CHOOSE(CONTROL!$C$6, $C$13, 100%, $E$13) + CHOOSE(CONTROL!$C$25, 0, 0)</f>
        <v>85.393699999999995</v>
      </c>
      <c r="E831" s="4">
        <f>516.897351529178 * CHOOSE(CONTROL!$C$6, $C$13, 100%, $E$13) + CHOOSE(CONTROL!$C$25, 0, 0)</f>
        <v>516.89735152917797</v>
      </c>
    </row>
    <row r="832" spans="1:5" ht="15">
      <c r="A832" s="13">
        <v>67206</v>
      </c>
      <c r="B832" s="4">
        <f>92.783 * CHOOSE(CONTROL!$C$6, $C$13, 100%, $E$13) + CHOOSE(CONTROL!$C$25, 0.0003, 0)</f>
        <v>92.783299999999997</v>
      </c>
      <c r="C832" s="4">
        <f>92.4705 * CHOOSE(CONTROL!$C$6, $C$13, 100%, $E$13) + CHOOSE(CONTROL!$C$25, 0.0003, 0)</f>
        <v>92.470799999999997</v>
      </c>
      <c r="D832" s="4">
        <f>82.4163 * CHOOSE(CONTROL!$C$6, $C$13, 100%, $E$13) + CHOOSE(CONTROL!$C$25, 0, 0)</f>
        <v>82.416300000000007</v>
      </c>
      <c r="E832" s="4">
        <f>508.802052894494 * CHOOSE(CONTROL!$C$6, $C$13, 100%, $E$13) + CHOOSE(CONTROL!$C$25, 0, 0)</f>
        <v>508.80205289449401</v>
      </c>
    </row>
    <row r="833" spans="1:5" ht="15">
      <c r="A833" s="13">
        <v>67237</v>
      </c>
      <c r="B833" s="4">
        <f>90.433 * CHOOSE(CONTROL!$C$6, $C$13, 100%, $E$13) + CHOOSE(CONTROL!$C$25, 0.0003, 0)</f>
        <v>90.433300000000003</v>
      </c>
      <c r="C833" s="4">
        <f>90.1205 * CHOOSE(CONTROL!$C$6, $C$13, 100%, $E$13) + CHOOSE(CONTROL!$C$25, 0.0003, 0)</f>
        <v>90.120800000000003</v>
      </c>
      <c r="D833" s="4">
        <f>79.6799 * CHOOSE(CONTROL!$C$6, $C$13, 100%, $E$13) + CHOOSE(CONTROL!$C$25, 0, 0)</f>
        <v>79.679900000000004</v>
      </c>
      <c r="E833" s="4">
        <f>494.211548907858 * CHOOSE(CONTROL!$C$6, $C$13, 100%, $E$13) + CHOOSE(CONTROL!$C$25, 0, 0)</f>
        <v>494.211548907858</v>
      </c>
    </row>
    <row r="834" spans="1:5" ht="15">
      <c r="A834" s="13">
        <v>67266</v>
      </c>
      <c r="B834" s="4">
        <f>92.5357 * CHOOSE(CONTROL!$C$6, $C$13, 100%, $E$13) + CHOOSE(CONTROL!$C$25, 0.0003, 0)</f>
        <v>92.536000000000001</v>
      </c>
      <c r="C834" s="4">
        <f>92.2232 * CHOOSE(CONTROL!$C$6, $C$13, 100%, $E$13) + CHOOSE(CONTROL!$C$25, 0.0003, 0)</f>
        <v>92.223500000000001</v>
      </c>
      <c r="D834" s="4">
        <f>82.4355 * CHOOSE(CONTROL!$C$6, $C$13, 100%, $E$13) + CHOOSE(CONTROL!$C$25, 0, 0)</f>
        <v>82.435500000000005</v>
      </c>
      <c r="E834" s="4">
        <f>505.94607872189 * CHOOSE(CONTROL!$C$6, $C$13, 100%, $E$13) + CHOOSE(CONTROL!$C$25, 0, 0)</f>
        <v>505.94607872188999</v>
      </c>
    </row>
    <row r="835" spans="1:5" ht="15">
      <c r="A835" s="13">
        <v>67297</v>
      </c>
      <c r="B835" s="4">
        <f>98.0575 * CHOOSE(CONTROL!$C$6, $C$13, 100%, $E$13) + CHOOSE(CONTROL!$C$25, 0.0003, 0)</f>
        <v>98.0578</v>
      </c>
      <c r="C835" s="4">
        <f>97.745 * CHOOSE(CONTROL!$C$6, $C$13, 100%, $E$13) + CHOOSE(CONTROL!$C$25, 0.0003, 0)</f>
        <v>97.7453</v>
      </c>
      <c r="D835" s="4">
        <f>86.7492 * CHOOSE(CONTROL!$C$6, $C$13, 100%, $E$13) + CHOOSE(CONTROL!$C$25, 0, 0)</f>
        <v>86.749200000000002</v>
      </c>
      <c r="E835" s="4">
        <f>536.761577624323 * CHOOSE(CONTROL!$C$6, $C$13, 100%, $E$13) + CHOOSE(CONTROL!$C$25, 0, 0)</f>
        <v>536.76157762432297</v>
      </c>
    </row>
    <row r="836" spans="1:5" ht="15">
      <c r="A836" s="13">
        <v>67327</v>
      </c>
      <c r="B836" s="4">
        <f>101.9809 * CHOOSE(CONTROL!$C$6, $C$13, 100%, $E$13) + CHOOSE(CONTROL!$C$25, 0.0003, 0)</f>
        <v>101.9812</v>
      </c>
      <c r="C836" s="4">
        <f>101.6684 * CHOOSE(CONTROL!$C$6, $C$13, 100%, $E$13) + CHOOSE(CONTROL!$C$25, 0.0003, 0)</f>
        <v>101.6687</v>
      </c>
      <c r="D836" s="4">
        <f>89.2341 * CHOOSE(CONTROL!$C$6, $C$13, 100%, $E$13) + CHOOSE(CONTROL!$C$25, 0, 0)</f>
        <v>89.234099999999998</v>
      </c>
      <c r="E836" s="4">
        <f>558.656400265021 * CHOOSE(CONTROL!$C$6, $C$13, 100%, $E$13) + CHOOSE(CONTROL!$C$25, 0, 0)</f>
        <v>558.65640026502103</v>
      </c>
    </row>
    <row r="837" spans="1:5" ht="15">
      <c r="A837" s="13">
        <v>67358</v>
      </c>
      <c r="B837" s="4">
        <f>104.3779 * CHOOSE(CONTROL!$C$6, $C$13, 100%, $E$13) + CHOOSE(CONTROL!$C$25, 0.0238, 0)</f>
        <v>104.40169999999999</v>
      </c>
      <c r="C837" s="4">
        <f>104.0654 * CHOOSE(CONTROL!$C$6, $C$13, 100%, $E$13) + CHOOSE(CONTROL!$C$25, 0.0238, 0)</f>
        <v>104.08919999999999</v>
      </c>
      <c r="D837" s="4">
        <f>88.2522 * CHOOSE(CONTROL!$C$6, $C$13, 100%, $E$13) + CHOOSE(CONTROL!$C$25, 0, 0)</f>
        <v>88.252200000000002</v>
      </c>
      <c r="E837" s="4">
        <f>572.033612152824 * CHOOSE(CONTROL!$C$6, $C$13, 100%, $E$13) + CHOOSE(CONTROL!$C$25, 0, 0)</f>
        <v>572.03361215282405</v>
      </c>
    </row>
    <row r="838" spans="1:5" ht="15">
      <c r="A838" s="13">
        <v>67388</v>
      </c>
      <c r="B838" s="4">
        <f>104.7023 * CHOOSE(CONTROL!$C$6, $C$13, 100%, $E$13) + CHOOSE(CONTROL!$C$25, 0.0238, 0)</f>
        <v>104.72609999999999</v>
      </c>
      <c r="C838" s="4">
        <f>104.3898 * CHOOSE(CONTROL!$C$6, $C$13, 100%, $E$13) + CHOOSE(CONTROL!$C$25, 0.0238, 0)</f>
        <v>104.41359999999999</v>
      </c>
      <c r="D838" s="4">
        <f>89.0518 * CHOOSE(CONTROL!$C$6, $C$13, 100%, $E$13) + CHOOSE(CONTROL!$C$25, 0, 0)</f>
        <v>89.0518</v>
      </c>
      <c r="E838" s="4">
        <f>573.843604437814 * CHOOSE(CONTROL!$C$6, $C$13, 100%, $E$13) + CHOOSE(CONTROL!$C$25, 0, 0)</f>
        <v>573.84360443781395</v>
      </c>
    </row>
    <row r="839" spans="1:5" ht="15">
      <c r="A839" s="13">
        <v>67419</v>
      </c>
      <c r="B839" s="4">
        <f>104.6695 * CHOOSE(CONTROL!$C$6, $C$13, 100%, $E$13) + CHOOSE(CONTROL!$C$25, 0.0238, 0)</f>
        <v>104.69329999999999</v>
      </c>
      <c r="C839" s="4">
        <f>104.357 * CHOOSE(CONTROL!$C$6, $C$13, 100%, $E$13) + CHOOSE(CONTROL!$C$25, 0.0238, 0)</f>
        <v>104.38079999999999</v>
      </c>
      <c r="D839" s="4">
        <f>90.4947 * CHOOSE(CONTROL!$C$6, $C$13, 100%, $E$13) + CHOOSE(CONTROL!$C$25, 0, 0)</f>
        <v>90.494699999999995</v>
      </c>
      <c r="E839" s="4">
        <f>573.661084207395 * CHOOSE(CONTROL!$C$6, $C$13, 100%, $E$13) + CHOOSE(CONTROL!$C$25, 0, 0)</f>
        <v>573.66108420739499</v>
      </c>
    </row>
    <row r="840" spans="1:5" ht="15">
      <c r="A840" s="13">
        <v>67450</v>
      </c>
      <c r="B840" s="4">
        <f>107.1307 * CHOOSE(CONTROL!$C$6, $C$13, 100%, $E$13) + CHOOSE(CONTROL!$C$25, 0.0238, 0)</f>
        <v>107.1545</v>
      </c>
      <c r="C840" s="4">
        <f>106.8182 * CHOOSE(CONTROL!$C$6, $C$13, 100%, $E$13) + CHOOSE(CONTROL!$C$25, 0.0238, 0)</f>
        <v>106.842</v>
      </c>
      <c r="D840" s="4">
        <f>89.5418 * CHOOSE(CONTROL!$C$6, $C$13, 100%, $E$13) + CHOOSE(CONTROL!$C$25, 0, 0)</f>
        <v>89.541799999999995</v>
      </c>
      <c r="E840" s="4">
        <f>587.395731546436 * CHOOSE(CONTROL!$C$6, $C$13, 100%, $E$13) + CHOOSE(CONTROL!$C$25, 0, 0)</f>
        <v>587.39573154643597</v>
      </c>
    </row>
    <row r="841" spans="1:5" ht="15">
      <c r="A841" s="13">
        <v>67480</v>
      </c>
      <c r="B841" s="4">
        <f>102.9361 * CHOOSE(CONTROL!$C$6, $C$13, 100%, $E$13) + CHOOSE(CONTROL!$C$25, 0.0238, 0)</f>
        <v>102.95989999999999</v>
      </c>
      <c r="C841" s="4">
        <f>102.6236 * CHOOSE(CONTROL!$C$6, $C$13, 100%, $E$13) + CHOOSE(CONTROL!$C$25, 0.0238, 0)</f>
        <v>102.64739999999999</v>
      </c>
      <c r="D841" s="4">
        <f>89.0916 * CHOOSE(CONTROL!$C$6, $C$13, 100%, $E$13) + CHOOSE(CONTROL!$C$25, 0, 0)</f>
        <v>89.0916</v>
      </c>
      <c r="E841" s="4">
        <f>563.98751199518 * CHOOSE(CONTROL!$C$6, $C$13, 100%, $E$13) + CHOOSE(CONTROL!$C$25, 0, 0)</f>
        <v>563.98751199517994</v>
      </c>
    </row>
    <row r="842" spans="1:5" ht="15">
      <c r="A842" s="13">
        <v>67511</v>
      </c>
      <c r="B842" s="4">
        <f>99.5783 * CHOOSE(CONTROL!$C$6, $C$13, 100%, $E$13) + CHOOSE(CONTROL!$C$25, 0.0003, 0)</f>
        <v>99.578599999999994</v>
      </c>
      <c r="C842" s="4">
        <f>99.2658 * CHOOSE(CONTROL!$C$6, $C$13, 100%, $E$13) + CHOOSE(CONTROL!$C$25, 0.0003, 0)</f>
        <v>99.266099999999994</v>
      </c>
      <c r="D842" s="4">
        <f>87.8861 * CHOOSE(CONTROL!$C$6, $C$13, 100%, $E$13) + CHOOSE(CONTROL!$C$25, 0, 0)</f>
        <v>87.886099999999999</v>
      </c>
      <c r="E842" s="4">
        <f>545.248768338814 * CHOOSE(CONTROL!$C$6, $C$13, 100%, $E$13) + CHOOSE(CONTROL!$C$25, 0, 0)</f>
        <v>545.24876833881399</v>
      </c>
    </row>
    <row r="843" spans="1:5" ht="15">
      <c r="A843" s="13">
        <v>67541</v>
      </c>
      <c r="B843" s="4">
        <f>97.4157 * CHOOSE(CONTROL!$C$6, $C$13, 100%, $E$13) + CHOOSE(CONTROL!$C$25, 0.0003, 0)</f>
        <v>97.415999999999997</v>
      </c>
      <c r="C843" s="4">
        <f>97.1032 * CHOOSE(CONTROL!$C$6, $C$13, 100%, $E$13) + CHOOSE(CONTROL!$C$25, 0.0003, 0)</f>
        <v>97.103499999999997</v>
      </c>
      <c r="D843" s="4">
        <f>87.4717 * CHOOSE(CONTROL!$C$6, $C$13, 100%, $E$13) + CHOOSE(CONTROL!$C$25, 0, 0)</f>
        <v>87.471699999999998</v>
      </c>
      <c r="E843" s="4">
        <f>533.179618102347 * CHOOSE(CONTROL!$C$6, $C$13, 100%, $E$13) + CHOOSE(CONTROL!$C$25, 0, 0)</f>
        <v>533.17961810234704</v>
      </c>
    </row>
    <row r="844" spans="1:5" ht="15">
      <c r="A844" s="13">
        <v>67572</v>
      </c>
      <c r="B844" s="4">
        <f>95.9194 * CHOOSE(CONTROL!$C$6, $C$13, 100%, $E$13) + CHOOSE(CONTROL!$C$25, 0.0003, 0)</f>
        <v>95.919699999999992</v>
      </c>
      <c r="C844" s="4">
        <f>95.6069 * CHOOSE(CONTROL!$C$6, $C$13, 100%, $E$13) + CHOOSE(CONTROL!$C$25, 0.0003, 0)</f>
        <v>95.607199999999992</v>
      </c>
      <c r="D844" s="4">
        <f>84.4205 * CHOOSE(CONTROL!$C$6, $C$13, 100%, $E$13) + CHOOSE(CONTROL!$C$25, 0, 0)</f>
        <v>84.420500000000004</v>
      </c>
      <c r="E844" s="4">
        <f>524.829317560671 * CHOOSE(CONTROL!$C$6, $C$13, 100%, $E$13) + CHOOSE(CONTROL!$C$25, 0, 0)</f>
        <v>524.82931756067103</v>
      </c>
    </row>
    <row r="845" spans="1:5" ht="15">
      <c r="A845" s="13">
        <v>67603</v>
      </c>
      <c r="B845" s="4">
        <f>93.4882 * CHOOSE(CONTROL!$C$6, $C$13, 100%, $E$13) + CHOOSE(CONTROL!$C$25, 0.0003, 0)</f>
        <v>93.488500000000002</v>
      </c>
      <c r="C845" s="4">
        <f>93.1757 * CHOOSE(CONTROL!$C$6, $C$13, 100%, $E$13) + CHOOSE(CONTROL!$C$25, 0.0003, 0)</f>
        <v>93.176000000000002</v>
      </c>
      <c r="D845" s="4">
        <f>81.6162 * CHOOSE(CONTROL!$C$6, $C$13, 100%, $E$13) + CHOOSE(CONTROL!$C$25, 0, 0)</f>
        <v>81.616200000000006</v>
      </c>
      <c r="E845" s="4">
        <f>509.779212698456 * CHOOSE(CONTROL!$C$6, $C$13, 100%, $E$13) + CHOOSE(CONTROL!$C$25, 0, 0)</f>
        <v>509.77921269845598</v>
      </c>
    </row>
    <row r="846" spans="1:5" ht="15">
      <c r="A846" s="13">
        <v>67631</v>
      </c>
      <c r="B846" s="4">
        <f>95.6635 * CHOOSE(CONTROL!$C$6, $C$13, 100%, $E$13) + CHOOSE(CONTROL!$C$25, 0.0003, 0)</f>
        <v>95.663799999999995</v>
      </c>
      <c r="C846" s="4">
        <f>95.351 * CHOOSE(CONTROL!$C$6, $C$13, 100%, $E$13) + CHOOSE(CONTROL!$C$25, 0.0003, 0)</f>
        <v>95.351299999999995</v>
      </c>
      <c r="D846" s="4">
        <f>84.4401 * CHOOSE(CONTROL!$C$6, $C$13, 100%, $E$13) + CHOOSE(CONTROL!$C$25, 0, 0)</f>
        <v>84.440100000000001</v>
      </c>
      <c r="E846" s="4">
        <f>521.883380201629 * CHOOSE(CONTROL!$C$6, $C$13, 100%, $E$13) + CHOOSE(CONTROL!$C$25, 0, 0)</f>
        <v>521.88338020162905</v>
      </c>
    </row>
    <row r="847" spans="1:5" ht="15">
      <c r="A847" s="13">
        <v>67662</v>
      </c>
      <c r="B847" s="4">
        <f>101.3758 * CHOOSE(CONTROL!$C$6, $C$13, 100%, $E$13) + CHOOSE(CONTROL!$C$25, 0.0003, 0)</f>
        <v>101.37609999999999</v>
      </c>
      <c r="C847" s="4">
        <f>101.0633 * CHOOSE(CONTROL!$C$6, $C$13, 100%, $E$13) + CHOOSE(CONTROL!$C$25, 0.0003, 0)</f>
        <v>101.06359999999999</v>
      </c>
      <c r="D847" s="4">
        <f>88.8608 * CHOOSE(CONTROL!$C$6, $C$13, 100%, $E$13) + CHOOSE(CONTROL!$C$25, 0, 0)</f>
        <v>88.860799999999998</v>
      </c>
      <c r="E847" s="4">
        <f>553.669567319489 * CHOOSE(CONTROL!$C$6, $C$13, 100%, $E$13) + CHOOSE(CONTROL!$C$25, 0, 0)</f>
        <v>553.66956731948903</v>
      </c>
    </row>
    <row r="848" spans="1:5" ht="15">
      <c r="A848" s="13">
        <v>67692</v>
      </c>
      <c r="B848" s="4">
        <f>105.4345 * CHOOSE(CONTROL!$C$6, $C$13, 100%, $E$13) + CHOOSE(CONTROL!$C$25, 0.0003, 0)</f>
        <v>105.4348</v>
      </c>
      <c r="C848" s="4">
        <f>105.122 * CHOOSE(CONTROL!$C$6, $C$13, 100%, $E$13) + CHOOSE(CONTROL!$C$25, 0.0003, 0)</f>
        <v>105.1223</v>
      </c>
      <c r="D848" s="4">
        <f>91.4073 * CHOOSE(CONTROL!$C$6, $C$13, 100%, $E$13) + CHOOSE(CONTROL!$C$25, 0, 0)</f>
        <v>91.407300000000006</v>
      </c>
      <c r="E848" s="4">
        <f>576.254076873369 * CHOOSE(CONTROL!$C$6, $C$13, 100%, $E$13) + CHOOSE(CONTROL!$C$25, 0, 0)</f>
        <v>576.25407687336894</v>
      </c>
    </row>
    <row r="849" spans="1:5" ht="15">
      <c r="A849" s="13">
        <v>67723</v>
      </c>
      <c r="B849" s="4">
        <f>107.9143 * CHOOSE(CONTROL!$C$6, $C$13, 100%, $E$13) + CHOOSE(CONTROL!$C$25, 0.0238, 0)</f>
        <v>107.93809999999999</v>
      </c>
      <c r="C849" s="4">
        <f>107.6018 * CHOOSE(CONTROL!$C$6, $C$13, 100%, $E$13) + CHOOSE(CONTROL!$C$25, 0.0238, 0)</f>
        <v>107.62559999999999</v>
      </c>
      <c r="D849" s="4">
        <f>90.4011 * CHOOSE(CONTROL!$C$6, $C$13, 100%, $E$13) + CHOOSE(CONTROL!$C$25, 0, 0)</f>
        <v>90.4011</v>
      </c>
      <c r="E849" s="4">
        <f>590.052670935638 * CHOOSE(CONTROL!$C$6, $C$13, 100%, $E$13) + CHOOSE(CONTROL!$C$25, 0, 0)</f>
        <v>590.05267093563805</v>
      </c>
    </row>
    <row r="850" spans="1:5" ht="15">
      <c r="A850" s="13">
        <v>67753</v>
      </c>
      <c r="B850" s="4">
        <f>108.2498 * CHOOSE(CONTROL!$C$6, $C$13, 100%, $E$13) + CHOOSE(CONTROL!$C$25, 0.0238, 0)</f>
        <v>108.27359999999999</v>
      </c>
      <c r="C850" s="4">
        <f>107.9373 * CHOOSE(CONTROL!$C$6, $C$13, 100%, $E$13) + CHOOSE(CONTROL!$C$25, 0.0238, 0)</f>
        <v>107.96109999999999</v>
      </c>
      <c r="D850" s="4">
        <f>91.2206 * CHOOSE(CONTROL!$C$6, $C$13, 100%, $E$13) + CHOOSE(CONTROL!$C$25, 0, 0)</f>
        <v>91.220600000000005</v>
      </c>
      <c r="E850" s="4">
        <f>591.919677977605 * CHOOSE(CONTROL!$C$6, $C$13, 100%, $E$13) + CHOOSE(CONTROL!$C$25, 0, 0)</f>
        <v>591.91967797760503</v>
      </c>
    </row>
    <row r="851" spans="1:5" ht="15">
      <c r="A851" s="13">
        <v>67784</v>
      </c>
      <c r="B851" s="4">
        <f>108.216 * CHOOSE(CONTROL!$C$6, $C$13, 100%, $E$13) + CHOOSE(CONTROL!$C$25, 0.0238, 0)</f>
        <v>108.23979999999999</v>
      </c>
      <c r="C851" s="4">
        <f>107.9035 * CHOOSE(CONTROL!$C$6, $C$13, 100%, $E$13) + CHOOSE(CONTROL!$C$25, 0.0238, 0)</f>
        <v>107.92729999999999</v>
      </c>
      <c r="D851" s="4">
        <f>92.6992 * CHOOSE(CONTROL!$C$6, $C$13, 100%, $E$13) + CHOOSE(CONTROL!$C$25, 0, 0)</f>
        <v>92.699200000000005</v>
      </c>
      <c r="E851" s="4">
        <f>591.731408359928 * CHOOSE(CONTROL!$C$6, $C$13, 100%, $E$13) + CHOOSE(CONTROL!$C$25, 0, 0)</f>
        <v>591.73140835992797</v>
      </c>
    </row>
    <row r="852" spans="1:5" ht="15">
      <c r="A852" s="13">
        <v>67815</v>
      </c>
      <c r="B852" s="4">
        <f>110.762 * CHOOSE(CONTROL!$C$6, $C$13, 100%, $E$13) + CHOOSE(CONTROL!$C$25, 0.0238, 0)</f>
        <v>110.78579999999999</v>
      </c>
      <c r="C852" s="4">
        <f>110.4495 * CHOOSE(CONTROL!$C$6, $C$13, 100%, $E$13) + CHOOSE(CONTROL!$C$25, 0.0238, 0)</f>
        <v>110.47329999999999</v>
      </c>
      <c r="D852" s="4">
        <f>91.7227 * CHOOSE(CONTROL!$C$6, $C$13, 100%, $E$13) + CHOOSE(CONTROL!$C$25, 0, 0)</f>
        <v>91.722700000000003</v>
      </c>
      <c r="E852" s="4">
        <f>605.898697090149 * CHOOSE(CONTROL!$C$6, $C$13, 100%, $E$13) + CHOOSE(CONTROL!$C$25, 0, 0)</f>
        <v>605.89869709014897</v>
      </c>
    </row>
    <row r="853" spans="1:5" ht="15">
      <c r="A853" s="13">
        <v>67845</v>
      </c>
      <c r="B853" s="4">
        <f>106.4227 * CHOOSE(CONTROL!$C$6, $C$13, 100%, $E$13) + CHOOSE(CONTROL!$C$25, 0.0238, 0)</f>
        <v>106.4465</v>
      </c>
      <c r="C853" s="4">
        <f>106.1102 * CHOOSE(CONTROL!$C$6, $C$13, 100%, $E$13) + CHOOSE(CONTROL!$C$25, 0.0238, 0)</f>
        <v>106.134</v>
      </c>
      <c r="D853" s="4">
        <f>91.2613 * CHOOSE(CONTROL!$C$6, $C$13, 100%, $E$13) + CHOOSE(CONTROL!$C$25, 0, 0)</f>
        <v>91.261300000000006</v>
      </c>
      <c r="E853" s="4">
        <f>581.753118623028 * CHOOSE(CONTROL!$C$6, $C$13, 100%, $E$13) + CHOOSE(CONTROL!$C$25, 0, 0)</f>
        <v>581.75311862302794</v>
      </c>
    </row>
    <row r="854" spans="1:5" ht="15">
      <c r="A854" s="13">
        <v>67876</v>
      </c>
      <c r="B854" s="4">
        <f>102.9491 * CHOOSE(CONTROL!$C$6, $C$13, 100%, $E$13) + CHOOSE(CONTROL!$C$25, 0.0003, 0)</f>
        <v>102.9494</v>
      </c>
      <c r="C854" s="4">
        <f>102.6366 * CHOOSE(CONTROL!$C$6, $C$13, 100%, $E$13) + CHOOSE(CONTROL!$C$25, 0.0003, 0)</f>
        <v>102.6369</v>
      </c>
      <c r="D854" s="4">
        <f>90.0259 * CHOOSE(CONTROL!$C$6, $C$13, 100%, $E$13) + CHOOSE(CONTROL!$C$25, 0, 0)</f>
        <v>90.025899999999993</v>
      </c>
      <c r="E854" s="4">
        <f>562.424104541486 * CHOOSE(CONTROL!$C$6, $C$13, 100%, $E$13) + CHOOSE(CONTROL!$C$25, 0, 0)</f>
        <v>562.42410454148603</v>
      </c>
    </row>
    <row r="855" spans="1:5" ht="15">
      <c r="A855" s="13">
        <v>67906</v>
      </c>
      <c r="B855" s="4">
        <f>100.7118 * CHOOSE(CONTROL!$C$6, $C$13, 100%, $E$13) + CHOOSE(CONTROL!$C$25, 0.0003, 0)</f>
        <v>100.71209999999999</v>
      </c>
      <c r="C855" s="4">
        <f>100.3993 * CHOOSE(CONTROL!$C$6, $C$13, 100%, $E$13) + CHOOSE(CONTROL!$C$25, 0.0003, 0)</f>
        <v>100.39959999999999</v>
      </c>
      <c r="D855" s="4">
        <f>89.6012 * CHOOSE(CONTROL!$C$6, $C$13, 100%, $E$13) + CHOOSE(CONTROL!$C$25, 0, 0)</f>
        <v>89.601200000000006</v>
      </c>
      <c r="E855" s="4">
        <f>549.974776072571 * CHOOSE(CONTROL!$C$6, $C$13, 100%, $E$13) + CHOOSE(CONTROL!$C$25, 0, 0)</f>
        <v>549.97477607257099</v>
      </c>
    </row>
    <row r="856" spans="1:5" ht="15">
      <c r="A856" s="13">
        <v>67937</v>
      </c>
      <c r="B856" s="4">
        <f>99.1639 * CHOOSE(CONTROL!$C$6, $C$13, 100%, $E$13) + CHOOSE(CONTROL!$C$25, 0.0003, 0)</f>
        <v>99.164199999999994</v>
      </c>
      <c r="C856" s="4">
        <f>98.8514 * CHOOSE(CONTROL!$C$6, $C$13, 100%, $E$13) + CHOOSE(CONTROL!$C$25, 0.0003, 0)</f>
        <v>98.851699999999994</v>
      </c>
      <c r="D856" s="4">
        <f>86.4743 * CHOOSE(CONTROL!$C$6, $C$13, 100%, $E$13) + CHOOSE(CONTROL!$C$25, 0, 0)</f>
        <v>86.474299999999999</v>
      </c>
      <c r="E856" s="4">
        <f>541.361441063832 * CHOOSE(CONTROL!$C$6, $C$13, 100%, $E$13) + CHOOSE(CONTROL!$C$25, 0, 0)</f>
        <v>541.36144106383199</v>
      </c>
    </row>
    <row r="857" spans="1:5" ht="15">
      <c r="A857" s="13">
        <v>67968</v>
      </c>
      <c r="B857" s="4">
        <f>96.6489 * CHOOSE(CONTROL!$C$6, $C$13, 100%, $E$13) + CHOOSE(CONTROL!$C$25, 0.0003, 0)</f>
        <v>96.649199999999993</v>
      </c>
      <c r="C857" s="4">
        <f>96.3364 * CHOOSE(CONTROL!$C$6, $C$13, 100%, $E$13) + CHOOSE(CONTROL!$C$25, 0.0003, 0)</f>
        <v>96.336699999999993</v>
      </c>
      <c r="D857" s="4">
        <f>83.6005 * CHOOSE(CONTROL!$C$6, $C$13, 100%, $E$13) + CHOOSE(CONTROL!$C$25, 0, 0)</f>
        <v>83.600499999999997</v>
      </c>
      <c r="E857" s="4">
        <f>525.837257898457 * CHOOSE(CONTROL!$C$6, $C$13, 100%, $E$13) + CHOOSE(CONTROL!$C$25, 0, 0)</f>
        <v>525.83725789845698</v>
      </c>
    </row>
    <row r="858" spans="1:5" ht="15">
      <c r="A858" s="13">
        <v>67996</v>
      </c>
      <c r="B858" s="4">
        <f>98.8992 * CHOOSE(CONTROL!$C$6, $C$13, 100%, $E$13) + CHOOSE(CONTROL!$C$25, 0.0003, 0)</f>
        <v>98.899499999999989</v>
      </c>
      <c r="C858" s="4">
        <f>98.5867 * CHOOSE(CONTROL!$C$6, $C$13, 100%, $E$13) + CHOOSE(CONTROL!$C$25, 0.0003, 0)</f>
        <v>98.586999999999989</v>
      </c>
      <c r="D858" s="4">
        <f>86.4945 * CHOOSE(CONTROL!$C$6, $C$13, 100%, $E$13) + CHOOSE(CONTROL!$C$25, 0, 0)</f>
        <v>86.494500000000002</v>
      </c>
      <c r="E858" s="4">
        <f>538.322706677981 * CHOOSE(CONTROL!$C$6, $C$13, 100%, $E$13) + CHOOSE(CONTROL!$C$25, 0, 0)</f>
        <v>538.32270667798105</v>
      </c>
    </row>
    <row r="859" spans="1:5" ht="15">
      <c r="A859" s="13">
        <v>68027</v>
      </c>
      <c r="B859" s="4">
        <f>104.8086 * CHOOSE(CONTROL!$C$6, $C$13, 100%, $E$13) + CHOOSE(CONTROL!$C$25, 0.0003, 0)</f>
        <v>104.80889999999999</v>
      </c>
      <c r="C859" s="4">
        <f>104.4961 * CHOOSE(CONTROL!$C$6, $C$13, 100%, $E$13) + CHOOSE(CONTROL!$C$25, 0.0003, 0)</f>
        <v>104.49639999999999</v>
      </c>
      <c r="D859" s="4">
        <f>91.0248 * CHOOSE(CONTROL!$C$6, $C$13, 100%, $E$13) + CHOOSE(CONTROL!$C$25, 0, 0)</f>
        <v>91.024799999999999</v>
      </c>
      <c r="E859" s="4">
        <f>571.110158690053 * CHOOSE(CONTROL!$C$6, $C$13, 100%, $E$13) + CHOOSE(CONTROL!$C$25, 0, 0)</f>
        <v>571.11015869005303</v>
      </c>
    </row>
    <row r="860" spans="1:5" ht="15">
      <c r="A860" s="13">
        <v>68057</v>
      </c>
      <c r="B860" s="4">
        <f>109.0073 * CHOOSE(CONTROL!$C$6, $C$13, 100%, $E$13) + CHOOSE(CONTROL!$C$25, 0.0003, 0)</f>
        <v>109.0076</v>
      </c>
      <c r="C860" s="4">
        <f>108.6948 * CHOOSE(CONTROL!$C$6, $C$13, 100%, $E$13) + CHOOSE(CONTROL!$C$25, 0.0003, 0)</f>
        <v>108.6951</v>
      </c>
      <c r="D860" s="4">
        <f>93.6344 * CHOOSE(CONTROL!$C$6, $C$13, 100%, $E$13) + CHOOSE(CONTROL!$C$25, 0, 0)</f>
        <v>93.634399999999999</v>
      </c>
      <c r="E860" s="4">
        <f>594.40608029488 * CHOOSE(CONTROL!$C$6, $C$13, 100%, $E$13) + CHOOSE(CONTROL!$C$25, 0, 0)</f>
        <v>594.40608029487998</v>
      </c>
    </row>
    <row r="861" spans="1:5" ht="15">
      <c r="A861" s="13">
        <v>68088</v>
      </c>
      <c r="B861" s="4">
        <f>111.5726 * CHOOSE(CONTROL!$C$6, $C$13, 100%, $E$13) + CHOOSE(CONTROL!$C$25, 0.0238, 0)</f>
        <v>111.59639999999999</v>
      </c>
      <c r="C861" s="4">
        <f>111.2601 * CHOOSE(CONTROL!$C$6, $C$13, 100%, $E$13) + CHOOSE(CONTROL!$C$25, 0.0238, 0)</f>
        <v>111.28389999999999</v>
      </c>
      <c r="D861" s="4">
        <f>92.6032 * CHOOSE(CONTROL!$C$6, $C$13, 100%, $E$13) + CHOOSE(CONTROL!$C$25, 0, 0)</f>
        <v>92.603200000000001</v>
      </c>
      <c r="E861" s="4">
        <f>608.639330070111 * CHOOSE(CONTROL!$C$6, $C$13, 100%, $E$13) + CHOOSE(CONTROL!$C$25, 0, 0)</f>
        <v>608.63933007011099</v>
      </c>
    </row>
    <row r="862" spans="1:5" ht="15">
      <c r="A862" s="13">
        <v>68118</v>
      </c>
      <c r="B862" s="4">
        <f>111.9197 * CHOOSE(CONTROL!$C$6, $C$13, 100%, $E$13) + CHOOSE(CONTROL!$C$25, 0.0238, 0)</f>
        <v>111.9435</v>
      </c>
      <c r="C862" s="4">
        <f>111.6072 * CHOOSE(CONTROL!$C$6, $C$13, 100%, $E$13) + CHOOSE(CONTROL!$C$25, 0.0238, 0)</f>
        <v>111.631</v>
      </c>
      <c r="D862" s="4">
        <f>93.4431 * CHOOSE(CONTROL!$C$6, $C$13, 100%, $E$13) + CHOOSE(CONTROL!$C$25, 0, 0)</f>
        <v>93.443100000000001</v>
      </c>
      <c r="E862" s="4">
        <f>610.5651478339 * CHOOSE(CONTROL!$C$6, $C$13, 100%, $E$13) + CHOOSE(CONTROL!$C$25, 0, 0)</f>
        <v>610.56514783390003</v>
      </c>
    </row>
    <row r="863" spans="1:5" ht="15">
      <c r="A863" s="13">
        <v>68149</v>
      </c>
      <c r="B863" s="4">
        <f>111.8847 * CHOOSE(CONTROL!$C$6, $C$13, 100%, $E$13) + CHOOSE(CONTROL!$C$25, 0.0238, 0)</f>
        <v>111.90849999999999</v>
      </c>
      <c r="C863" s="4">
        <f>111.5722 * CHOOSE(CONTROL!$C$6, $C$13, 100%, $E$13) + CHOOSE(CONTROL!$C$25, 0.0238, 0)</f>
        <v>111.59599999999999</v>
      </c>
      <c r="D863" s="4">
        <f>94.9584 * CHOOSE(CONTROL!$C$6, $C$13, 100%, $E$13) + CHOOSE(CONTROL!$C$25, 0, 0)</f>
        <v>94.958399999999997</v>
      </c>
      <c r="E863" s="4">
        <f>610.370947723266 * CHOOSE(CONTROL!$C$6, $C$13, 100%, $E$13) + CHOOSE(CONTROL!$C$25, 0, 0)</f>
        <v>610.370947723266</v>
      </c>
    </row>
    <row r="864" spans="1:5" ht="15">
      <c r="A864" s="13">
        <v>68180</v>
      </c>
      <c r="B864" s="4">
        <f>114.5186 * CHOOSE(CONTROL!$C$6, $C$13, 100%, $E$13) + CHOOSE(CONTROL!$C$25, 0.0238, 0)</f>
        <v>114.5424</v>
      </c>
      <c r="C864" s="4">
        <f>114.2061 * CHOOSE(CONTROL!$C$6, $C$13, 100%, $E$13) + CHOOSE(CONTROL!$C$25, 0.0238, 0)</f>
        <v>114.2299</v>
      </c>
      <c r="D864" s="4">
        <f>93.9577 * CHOOSE(CONTROL!$C$6, $C$13, 100%, $E$13) + CHOOSE(CONTROL!$C$25, 0, 0)</f>
        <v>93.957700000000003</v>
      </c>
      <c r="E864" s="4">
        <f>624.984506048489 * CHOOSE(CONTROL!$C$6, $C$13, 100%, $E$13) + CHOOSE(CONTROL!$C$25, 0, 0)</f>
        <v>624.98450604848904</v>
      </c>
    </row>
    <row r="865" spans="1:5" ht="15">
      <c r="A865" s="13">
        <v>68210</v>
      </c>
      <c r="B865" s="4">
        <f>110.0296 * CHOOSE(CONTROL!$C$6, $C$13, 100%, $E$13) + CHOOSE(CONTROL!$C$25, 0.0238, 0)</f>
        <v>110.0534</v>
      </c>
      <c r="C865" s="4">
        <f>109.7171 * CHOOSE(CONTROL!$C$6, $C$13, 100%, $E$13) + CHOOSE(CONTROL!$C$25, 0.0238, 0)</f>
        <v>109.7409</v>
      </c>
      <c r="D865" s="4">
        <f>93.4848 * CHOOSE(CONTROL!$C$6, $C$13, 100%, $E$13) + CHOOSE(CONTROL!$C$25, 0, 0)</f>
        <v>93.484800000000007</v>
      </c>
      <c r="E865" s="4">
        <f>600.078341859654 * CHOOSE(CONTROL!$C$6, $C$13, 100%, $E$13) + CHOOSE(CONTROL!$C$25, 0, 0)</f>
        <v>600.07834185965396</v>
      </c>
    </row>
    <row r="866" spans="1:5" ht="15">
      <c r="A866" s="13">
        <v>68241</v>
      </c>
      <c r="B866" s="4">
        <f>106.4362 * CHOOSE(CONTROL!$C$6, $C$13, 100%, $E$13) + CHOOSE(CONTROL!$C$25, 0.0003, 0)</f>
        <v>106.4365</v>
      </c>
      <c r="C866" s="4">
        <f>106.1237 * CHOOSE(CONTROL!$C$6, $C$13, 100%, $E$13) + CHOOSE(CONTROL!$C$25, 0.0003, 0)</f>
        <v>106.124</v>
      </c>
      <c r="D866" s="4">
        <f>92.2188 * CHOOSE(CONTROL!$C$6, $C$13, 100%, $E$13) + CHOOSE(CONTROL!$C$25, 0, 0)</f>
        <v>92.218800000000002</v>
      </c>
      <c r="E866" s="4">
        <f>580.140463834543 * CHOOSE(CONTROL!$C$6, $C$13, 100%, $E$13) + CHOOSE(CONTROL!$C$25, 0, 0)</f>
        <v>580.14046383454297</v>
      </c>
    </row>
    <row r="867" spans="1:5" ht="15">
      <c r="A867" s="13">
        <v>68271</v>
      </c>
      <c r="B867" s="4">
        <f>104.1217 * CHOOSE(CONTROL!$C$6, $C$13, 100%, $E$13) + CHOOSE(CONTROL!$C$25, 0.0003, 0)</f>
        <v>104.122</v>
      </c>
      <c r="C867" s="4">
        <f>103.8092 * CHOOSE(CONTROL!$C$6, $C$13, 100%, $E$13) + CHOOSE(CONTROL!$C$25, 0.0003, 0)</f>
        <v>103.8095</v>
      </c>
      <c r="D867" s="4">
        <f>91.7836 * CHOOSE(CONTROL!$C$6, $C$13, 100%, $E$13) + CHOOSE(CONTROL!$C$25, 0, 0)</f>
        <v>91.783600000000007</v>
      </c>
      <c r="E867" s="4">
        <f>567.298981518857 * CHOOSE(CONTROL!$C$6, $C$13, 100%, $E$13) + CHOOSE(CONTROL!$C$25, 0, 0)</f>
        <v>567.29898151885698</v>
      </c>
    </row>
    <row r="868" spans="1:5" ht="15">
      <c r="A868" s="13">
        <v>68302</v>
      </c>
      <c r="B868" s="4">
        <f>102.5204 * CHOOSE(CONTROL!$C$6, $C$13, 100%, $E$13) + CHOOSE(CONTROL!$C$25, 0.0003, 0)</f>
        <v>102.52069999999999</v>
      </c>
      <c r="C868" s="4">
        <f>102.2079 * CHOOSE(CONTROL!$C$6, $C$13, 100%, $E$13) + CHOOSE(CONTROL!$C$25, 0.0003, 0)</f>
        <v>102.20819999999999</v>
      </c>
      <c r="D868" s="4">
        <f>88.5791 * CHOOSE(CONTROL!$C$6, $C$13, 100%, $E$13) + CHOOSE(CONTROL!$C$25, 0, 0)</f>
        <v>88.579099999999997</v>
      </c>
      <c r="E868" s="4">
        <f>558.414326457343 * CHOOSE(CONTROL!$C$6, $C$13, 100%, $E$13) + CHOOSE(CONTROL!$C$25, 0, 0)</f>
        <v>558.41432645734301</v>
      </c>
    </row>
    <row r="869" spans="1:5" ht="15">
      <c r="A869" s="13">
        <v>68333</v>
      </c>
      <c r="B869" s="4">
        <f>99.9186 * CHOOSE(CONTROL!$C$6, $C$13, 100%, $E$13) + CHOOSE(CONTROL!$C$25, 0.0003, 0)</f>
        <v>99.918899999999994</v>
      </c>
      <c r="C869" s="4">
        <f>99.6061 * CHOOSE(CONTROL!$C$6, $C$13, 100%, $E$13) + CHOOSE(CONTROL!$C$25, 0.0003, 0)</f>
        <v>99.606399999999994</v>
      </c>
      <c r="D869" s="4">
        <f>85.634 * CHOOSE(CONTROL!$C$6, $C$13, 100%, $E$13) + CHOOSE(CONTROL!$C$25, 0, 0)</f>
        <v>85.634</v>
      </c>
      <c r="E869" s="4">
        <f>542.401131522259 * CHOOSE(CONTROL!$C$6, $C$13, 100%, $E$13) + CHOOSE(CONTROL!$C$25, 0, 0)</f>
        <v>542.40113152225899</v>
      </c>
    </row>
    <row r="870" spans="1:5" ht="15">
      <c r="A870" s="13">
        <v>68361</v>
      </c>
      <c r="B870" s="4">
        <f>102.2465 * CHOOSE(CONTROL!$C$6, $C$13, 100%, $E$13) + CHOOSE(CONTROL!$C$25, 0.0003, 0)</f>
        <v>102.24679999999999</v>
      </c>
      <c r="C870" s="4">
        <f>101.934 * CHOOSE(CONTROL!$C$6, $C$13, 100%, $E$13) + CHOOSE(CONTROL!$C$25, 0.0003, 0)</f>
        <v>101.93429999999999</v>
      </c>
      <c r="D870" s="4">
        <f>88.5998 * CHOOSE(CONTROL!$C$6, $C$13, 100%, $E$13) + CHOOSE(CONTROL!$C$25, 0, 0)</f>
        <v>88.599800000000002</v>
      </c>
      <c r="E870" s="4">
        <f>555.279871938337 * CHOOSE(CONTROL!$C$6, $C$13, 100%, $E$13) + CHOOSE(CONTROL!$C$25, 0, 0)</f>
        <v>555.27987193833701</v>
      </c>
    </row>
    <row r="871" spans="1:5" ht="15">
      <c r="A871" s="13">
        <v>68392</v>
      </c>
      <c r="B871" s="4">
        <f>108.3598 * CHOOSE(CONTROL!$C$6, $C$13, 100%, $E$13) + CHOOSE(CONTROL!$C$25, 0.0003, 0)</f>
        <v>108.3601</v>
      </c>
      <c r="C871" s="4">
        <f>108.0473 * CHOOSE(CONTROL!$C$6, $C$13, 100%, $E$13) + CHOOSE(CONTROL!$C$25, 0.0003, 0)</f>
        <v>108.0476</v>
      </c>
      <c r="D871" s="4">
        <f>93.2425 * CHOOSE(CONTROL!$C$6, $C$13, 100%, $E$13) + CHOOSE(CONTROL!$C$25, 0, 0)</f>
        <v>93.242500000000007</v>
      </c>
      <c r="E871" s="4">
        <f>589.10012868879 * CHOOSE(CONTROL!$C$6, $C$13, 100%, $E$13) + CHOOSE(CONTROL!$C$25, 0, 0)</f>
        <v>589.10012868879005</v>
      </c>
    </row>
    <row r="872" spans="1:5" ht="15">
      <c r="A872" s="13">
        <v>68422</v>
      </c>
      <c r="B872" s="4">
        <f>112.7034 * CHOOSE(CONTROL!$C$6, $C$13, 100%, $E$13) + CHOOSE(CONTROL!$C$25, 0.0003, 0)</f>
        <v>112.7037</v>
      </c>
      <c r="C872" s="4">
        <f>112.3909 * CHOOSE(CONTROL!$C$6, $C$13, 100%, $E$13) + CHOOSE(CONTROL!$C$25, 0.0003, 0)</f>
        <v>112.3912</v>
      </c>
      <c r="D872" s="4">
        <f>95.9168 * CHOOSE(CONTROL!$C$6, $C$13, 100%, $E$13) + CHOOSE(CONTROL!$C$25, 0, 0)</f>
        <v>95.916799999999995</v>
      </c>
      <c r="E872" s="4">
        <f>613.129871824169 * CHOOSE(CONTROL!$C$6, $C$13, 100%, $E$13) + CHOOSE(CONTROL!$C$25, 0, 0)</f>
        <v>613.12987182416896</v>
      </c>
    </row>
    <row r="873" spans="1:5" ht="15">
      <c r="A873" s="13">
        <v>68453</v>
      </c>
      <c r="B873" s="4">
        <f>115.3572 * CHOOSE(CONTROL!$C$6, $C$13, 100%, $E$13) + CHOOSE(CONTROL!$C$25, 0.0238, 0)</f>
        <v>115.381</v>
      </c>
      <c r="C873" s="4">
        <f>115.0447 * CHOOSE(CONTROL!$C$6, $C$13, 100%, $E$13) + CHOOSE(CONTROL!$C$25, 0.0238, 0)</f>
        <v>115.0685</v>
      </c>
      <c r="D873" s="4">
        <f>94.86 * CHOOSE(CONTROL!$C$6, $C$13, 100%, $E$13) + CHOOSE(CONTROL!$C$25, 0, 0)</f>
        <v>94.86</v>
      </c>
      <c r="E873" s="4">
        <f>627.811468967319 * CHOOSE(CONTROL!$C$6, $C$13, 100%, $E$13) + CHOOSE(CONTROL!$C$25, 0, 0)</f>
        <v>627.811468967319</v>
      </c>
    </row>
    <row r="874" spans="1:5" ht="15">
      <c r="A874" s="13">
        <v>68483</v>
      </c>
      <c r="B874" s="4">
        <f>115.7163 * CHOOSE(CONTROL!$C$6, $C$13, 100%, $E$13) + CHOOSE(CONTROL!$C$25, 0.0238, 0)</f>
        <v>115.7401</v>
      </c>
      <c r="C874" s="4">
        <f>115.4038 * CHOOSE(CONTROL!$C$6, $C$13, 100%, $E$13) + CHOOSE(CONTROL!$C$25, 0.0238, 0)</f>
        <v>115.4276</v>
      </c>
      <c r="D874" s="4">
        <f>95.7207 * CHOOSE(CONTROL!$C$6, $C$13, 100%, $E$13) + CHOOSE(CONTROL!$C$25, 0, 0)</f>
        <v>95.720699999999994</v>
      </c>
      <c r="E874" s="4">
        <f>629.797949990668 * CHOOSE(CONTROL!$C$6, $C$13, 100%, $E$13) + CHOOSE(CONTROL!$C$25, 0, 0)</f>
        <v>629.79794999066803</v>
      </c>
    </row>
    <row r="875" spans="1:5" ht="15">
      <c r="A875" s="13">
        <v>68514</v>
      </c>
      <c r="B875" s="4">
        <f>115.6801 * CHOOSE(CONTROL!$C$6, $C$13, 100%, $E$13) + CHOOSE(CONTROL!$C$25, 0.0238, 0)</f>
        <v>115.70389999999999</v>
      </c>
      <c r="C875" s="4">
        <f>115.3676 * CHOOSE(CONTROL!$C$6, $C$13, 100%, $E$13) + CHOOSE(CONTROL!$C$25, 0.0238, 0)</f>
        <v>115.39139999999999</v>
      </c>
      <c r="D875" s="4">
        <f>97.2736 * CHOOSE(CONTROL!$C$6, $C$13, 100%, $E$13) + CHOOSE(CONTROL!$C$25, 0, 0)</f>
        <v>97.273600000000002</v>
      </c>
      <c r="E875" s="4">
        <f>629.597632576549 * CHOOSE(CONTROL!$C$6, $C$13, 100%, $E$13) + CHOOSE(CONTROL!$C$25, 0, 0)</f>
        <v>629.59763257654902</v>
      </c>
    </row>
    <row r="876" spans="1:5" ht="15">
      <c r="A876" s="13">
        <v>68545</v>
      </c>
      <c r="B876" s="4">
        <f>118.4048 * CHOOSE(CONTROL!$C$6, $C$13, 100%, $E$13) + CHOOSE(CONTROL!$C$25, 0.0238, 0)</f>
        <v>118.42859999999999</v>
      </c>
      <c r="C876" s="4">
        <f>118.0923 * CHOOSE(CONTROL!$C$6, $C$13, 100%, $E$13) + CHOOSE(CONTROL!$C$25, 0.0238, 0)</f>
        <v>118.11609999999999</v>
      </c>
      <c r="D876" s="4">
        <f>96.2481 * CHOOSE(CONTROL!$C$6, $C$13, 100%, $E$13) + CHOOSE(CONTROL!$C$25, 0, 0)</f>
        <v>96.248099999999994</v>
      </c>
      <c r="E876" s="4">
        <f>644.671517989016 * CHOOSE(CONTROL!$C$6, $C$13, 100%, $E$13) + CHOOSE(CONTROL!$C$25, 0, 0)</f>
        <v>644.67151798901602</v>
      </c>
    </row>
    <row r="877" spans="1:5" ht="15">
      <c r="A877" s="13">
        <v>68575</v>
      </c>
      <c r="B877" s="4">
        <f>113.761 * CHOOSE(CONTROL!$C$6, $C$13, 100%, $E$13) + CHOOSE(CONTROL!$C$25, 0.0238, 0)</f>
        <v>113.78479999999999</v>
      </c>
      <c r="C877" s="4">
        <f>113.4485 * CHOOSE(CONTROL!$C$6, $C$13, 100%, $E$13) + CHOOSE(CONTROL!$C$25, 0.0238, 0)</f>
        <v>113.47229999999999</v>
      </c>
      <c r="D877" s="4">
        <f>95.7635 * CHOOSE(CONTROL!$C$6, $C$13, 100%, $E$13) + CHOOSE(CONTROL!$C$25, 0, 0)</f>
        <v>95.763499999999993</v>
      </c>
      <c r="E877" s="4">
        <f>618.980809628233 * CHOOSE(CONTROL!$C$6, $C$13, 100%, $E$13) + CHOOSE(CONTROL!$C$25, 0, 0)</f>
        <v>618.98080962823303</v>
      </c>
    </row>
    <row r="878" spans="1:5" ht="15">
      <c r="A878" s="13">
        <v>68606</v>
      </c>
      <c r="B878" s="4">
        <f>110.0435 * CHOOSE(CONTROL!$C$6, $C$13, 100%, $E$13) + CHOOSE(CONTROL!$C$25, 0.0003, 0)</f>
        <v>110.04379999999999</v>
      </c>
      <c r="C878" s="4">
        <f>109.731 * CHOOSE(CONTROL!$C$6, $C$13, 100%, $E$13) + CHOOSE(CONTROL!$C$25, 0.0003, 0)</f>
        <v>109.73129999999999</v>
      </c>
      <c r="D878" s="4">
        <f>94.4661 * CHOOSE(CONTROL!$C$6, $C$13, 100%, $E$13) + CHOOSE(CONTROL!$C$25, 0, 0)</f>
        <v>94.466099999999997</v>
      </c>
      <c r="E878" s="4">
        <f>598.414888445331 * CHOOSE(CONTROL!$C$6, $C$13, 100%, $E$13) + CHOOSE(CONTROL!$C$25, 0, 0)</f>
        <v>598.41488844533103</v>
      </c>
    </row>
    <row r="879" spans="1:5" ht="15">
      <c r="A879" s="13">
        <v>68636</v>
      </c>
      <c r="B879" s="4">
        <f>107.6492 * CHOOSE(CONTROL!$C$6, $C$13, 100%, $E$13) + CHOOSE(CONTROL!$C$25, 0.0003, 0)</f>
        <v>107.64949999999999</v>
      </c>
      <c r="C879" s="4">
        <f>107.3367 * CHOOSE(CONTROL!$C$6, $C$13, 100%, $E$13) + CHOOSE(CONTROL!$C$25, 0.0003, 0)</f>
        <v>107.33699999999999</v>
      </c>
      <c r="D879" s="4">
        <f>94.02 * CHOOSE(CONTROL!$C$6, $C$13, 100%, $E$13) + CHOOSE(CONTROL!$C$25, 0, 0)</f>
        <v>94.02</v>
      </c>
      <c r="E879" s="4">
        <f>585.168899436701 * CHOOSE(CONTROL!$C$6, $C$13, 100%, $E$13) + CHOOSE(CONTROL!$C$25, 0, 0)</f>
        <v>585.16889943670105</v>
      </c>
    </row>
    <row r="880" spans="1:5" ht="15">
      <c r="A880" s="13">
        <v>68667</v>
      </c>
      <c r="B880" s="4">
        <f>105.9926 * CHOOSE(CONTROL!$C$6, $C$13, 100%, $E$13) + CHOOSE(CONTROL!$C$25, 0.0003, 0)</f>
        <v>105.99289999999999</v>
      </c>
      <c r="C880" s="4">
        <f>105.6801 * CHOOSE(CONTROL!$C$6, $C$13, 100%, $E$13) + CHOOSE(CONTROL!$C$25, 0.0003, 0)</f>
        <v>105.68039999999999</v>
      </c>
      <c r="D880" s="4">
        <f>90.7361 * CHOOSE(CONTROL!$C$6, $C$13, 100%, $E$13) + CHOOSE(CONTROL!$C$25, 0, 0)</f>
        <v>90.736099999999993</v>
      </c>
      <c r="E880" s="4">
        <f>576.004377740749 * CHOOSE(CONTROL!$C$6, $C$13, 100%, $E$13) + CHOOSE(CONTROL!$C$25, 0, 0)</f>
        <v>576.00437774074896</v>
      </c>
    </row>
    <row r="881" spans="1:5" ht="15">
      <c r="A881" s="13">
        <v>68698</v>
      </c>
      <c r="B881" s="4">
        <f>103.3011 * CHOOSE(CONTROL!$C$6, $C$13, 100%, $E$13) + CHOOSE(CONTROL!$C$25, 0.0003, 0)</f>
        <v>103.3014</v>
      </c>
      <c r="C881" s="4">
        <f>102.9886 * CHOOSE(CONTROL!$C$6, $C$13, 100%, $E$13) + CHOOSE(CONTROL!$C$25, 0.0003, 0)</f>
        <v>102.9889</v>
      </c>
      <c r="D881" s="4">
        <f>87.718 * CHOOSE(CONTROL!$C$6, $C$13, 100%, $E$13) + CHOOSE(CONTROL!$C$25, 0, 0)</f>
        <v>87.718000000000004</v>
      </c>
      <c r="E881" s="4">
        <f>559.48676716521 * CHOOSE(CONTROL!$C$6, $C$13, 100%, $E$13) + CHOOSE(CONTROL!$C$25, 0, 0)</f>
        <v>559.48676716521004</v>
      </c>
    </row>
    <row r="882" spans="1:5" ht="15">
      <c r="A882" s="13">
        <v>68727</v>
      </c>
      <c r="B882" s="4">
        <f>105.7093 * CHOOSE(CONTROL!$C$6, $C$13, 100%, $E$13) + CHOOSE(CONTROL!$C$25, 0.0003, 0)</f>
        <v>105.70959999999999</v>
      </c>
      <c r="C882" s="4">
        <f>105.3968 * CHOOSE(CONTROL!$C$6, $C$13, 100%, $E$13) + CHOOSE(CONTROL!$C$25, 0.0003, 0)</f>
        <v>105.39709999999999</v>
      </c>
      <c r="D882" s="4">
        <f>90.7573 * CHOOSE(CONTROL!$C$6, $C$13, 100%, $E$13) + CHOOSE(CONTROL!$C$25, 0, 0)</f>
        <v>90.757300000000001</v>
      </c>
      <c r="E882" s="4">
        <f>572.771187904395 * CHOOSE(CONTROL!$C$6, $C$13, 100%, $E$13) + CHOOSE(CONTROL!$C$25, 0, 0)</f>
        <v>572.77118790439499</v>
      </c>
    </row>
    <row r="883" spans="1:5" ht="15">
      <c r="A883" s="13">
        <v>68758</v>
      </c>
      <c r="B883" s="4">
        <f>112.0335 * CHOOSE(CONTROL!$C$6, $C$13, 100%, $E$13) + CHOOSE(CONTROL!$C$25, 0.0003, 0)</f>
        <v>112.0338</v>
      </c>
      <c r="C883" s="4">
        <f>111.721 * CHOOSE(CONTROL!$C$6, $C$13, 100%, $E$13) + CHOOSE(CONTROL!$C$25, 0.0003, 0)</f>
        <v>111.7213</v>
      </c>
      <c r="D883" s="4">
        <f>95.5151 * CHOOSE(CONTROL!$C$6, $C$13, 100%, $E$13) + CHOOSE(CONTROL!$C$25, 0, 0)</f>
        <v>95.515100000000004</v>
      </c>
      <c r="E883" s="4">
        <f>607.656782742487 * CHOOSE(CONTROL!$C$6, $C$13, 100%, $E$13) + CHOOSE(CONTROL!$C$25, 0, 0)</f>
        <v>607.65678274248705</v>
      </c>
    </row>
    <row r="884" spans="1:5" ht="15">
      <c r="A884" s="13">
        <v>68788</v>
      </c>
      <c r="B884" s="4">
        <f>116.527 * CHOOSE(CONTROL!$C$6, $C$13, 100%, $E$13) + CHOOSE(CONTROL!$C$25, 0.0003, 0)</f>
        <v>116.5273</v>
      </c>
      <c r="C884" s="4">
        <f>116.2145 * CHOOSE(CONTROL!$C$6, $C$13, 100%, $E$13) + CHOOSE(CONTROL!$C$25, 0.0003, 0)</f>
        <v>116.2148</v>
      </c>
      <c r="D884" s="4">
        <f>98.2558 * CHOOSE(CONTROL!$C$6, $C$13, 100%, $E$13) + CHOOSE(CONTROL!$C$25, 0, 0)</f>
        <v>98.255799999999994</v>
      </c>
      <c r="E884" s="4">
        <f>632.44346278663 * CHOOSE(CONTROL!$C$6, $C$13, 100%, $E$13) + CHOOSE(CONTROL!$C$25, 0, 0)</f>
        <v>632.44346278662999</v>
      </c>
    </row>
    <row r="885" spans="1:5" ht="15">
      <c r="A885" s="13">
        <v>68819</v>
      </c>
      <c r="B885" s="4">
        <f>119.2723 * CHOOSE(CONTROL!$C$6, $C$13, 100%, $E$13) + CHOOSE(CONTROL!$C$25, 0.0238, 0)</f>
        <v>119.2961</v>
      </c>
      <c r="C885" s="4">
        <f>118.9598 * CHOOSE(CONTROL!$C$6, $C$13, 100%, $E$13) + CHOOSE(CONTROL!$C$25, 0.0238, 0)</f>
        <v>118.9836</v>
      </c>
      <c r="D885" s="4">
        <f>97.1728 * CHOOSE(CONTROL!$C$6, $C$13, 100%, $E$13) + CHOOSE(CONTROL!$C$25, 0, 0)</f>
        <v>97.172799999999995</v>
      </c>
      <c r="E885" s="4">
        <f>647.58753023979 * CHOOSE(CONTROL!$C$6, $C$13, 100%, $E$13) + CHOOSE(CONTROL!$C$25, 0, 0)</f>
        <v>647.58753023979</v>
      </c>
    </row>
    <row r="886" spans="1:5" ht="15">
      <c r="A886" s="13">
        <v>68849</v>
      </c>
      <c r="B886" s="4">
        <f>119.6438 * CHOOSE(CONTROL!$C$6, $C$13, 100%, $E$13) + CHOOSE(CONTROL!$C$25, 0.0238, 0)</f>
        <v>119.66759999999999</v>
      </c>
      <c r="C886" s="4">
        <f>119.3313 * CHOOSE(CONTROL!$C$6, $C$13, 100%, $E$13) + CHOOSE(CONTROL!$C$25, 0.0238, 0)</f>
        <v>119.35509999999999</v>
      </c>
      <c r="D886" s="4">
        <f>98.0548 * CHOOSE(CONTROL!$C$6, $C$13, 100%, $E$13) + CHOOSE(CONTROL!$C$25, 0, 0)</f>
        <v>98.0548</v>
      </c>
      <c r="E886" s="4">
        <f>649.636585415374 * CHOOSE(CONTROL!$C$6, $C$13, 100%, $E$13) + CHOOSE(CONTROL!$C$25, 0, 0)</f>
        <v>649.63658541537404</v>
      </c>
    </row>
    <row r="887" spans="1:5" ht="15">
      <c r="A887" s="13">
        <v>68880</v>
      </c>
      <c r="B887" s="4">
        <f>119.6063 * CHOOSE(CONTROL!$C$6, $C$13, 100%, $E$13) + CHOOSE(CONTROL!$C$25, 0.0238, 0)</f>
        <v>119.6301</v>
      </c>
      <c r="C887" s="4">
        <f>119.2938 * CHOOSE(CONTROL!$C$6, $C$13, 100%, $E$13) + CHOOSE(CONTROL!$C$25, 0.0238, 0)</f>
        <v>119.3176</v>
      </c>
      <c r="D887" s="4">
        <f>99.6463 * CHOOSE(CONTROL!$C$6, $C$13, 100%, $E$13) + CHOOSE(CONTROL!$C$25, 0, 0)</f>
        <v>99.646299999999997</v>
      </c>
      <c r="E887" s="4">
        <f>649.42995800271 * CHOOSE(CONTROL!$C$6, $C$13, 100%, $E$13) + CHOOSE(CONTROL!$C$25, 0, 0)</f>
        <v>649.42995800271001</v>
      </c>
    </row>
    <row r="888" spans="1:5" ht="15">
      <c r="A888" s="13">
        <v>68911</v>
      </c>
      <c r="B888" s="4">
        <f>122.4251 * CHOOSE(CONTROL!$C$6, $C$13, 100%, $E$13) + CHOOSE(CONTROL!$C$25, 0.0238, 0)</f>
        <v>122.44889999999999</v>
      </c>
      <c r="C888" s="4">
        <f>122.1126 * CHOOSE(CONTROL!$C$6, $C$13, 100%, $E$13) + CHOOSE(CONTROL!$C$25, 0.0238, 0)</f>
        <v>122.13639999999999</v>
      </c>
      <c r="D888" s="4">
        <f>98.5953 * CHOOSE(CONTROL!$C$6, $C$13, 100%, $E$13) + CHOOSE(CONTROL!$C$25, 0, 0)</f>
        <v>98.595299999999995</v>
      </c>
      <c r="E888" s="4">
        <f>664.97867080567 * CHOOSE(CONTROL!$C$6, $C$13, 100%, $E$13) + CHOOSE(CONTROL!$C$25, 0, 0)</f>
        <v>664.97867080567005</v>
      </c>
    </row>
    <row r="889" spans="1:5" ht="15">
      <c r="A889" s="13">
        <v>68941</v>
      </c>
      <c r="B889" s="4">
        <f>117.621 * CHOOSE(CONTROL!$C$6, $C$13, 100%, $E$13) + CHOOSE(CONTROL!$C$25, 0.0238, 0)</f>
        <v>117.64479999999999</v>
      </c>
      <c r="C889" s="4">
        <f>117.3085 * CHOOSE(CONTROL!$C$6, $C$13, 100%, $E$13) + CHOOSE(CONTROL!$C$25, 0.0238, 0)</f>
        <v>117.33229999999999</v>
      </c>
      <c r="D889" s="4">
        <f>98.0987 * CHOOSE(CONTROL!$C$6, $C$13, 100%, $E$13) + CHOOSE(CONTROL!$C$25, 0, 0)</f>
        <v>98.098699999999994</v>
      </c>
      <c r="E889" s="4">
        <f>638.478705131522 * CHOOSE(CONTROL!$C$6, $C$13, 100%, $E$13) + CHOOSE(CONTROL!$C$25, 0, 0)</f>
        <v>638.47870513152202</v>
      </c>
    </row>
    <row r="890" spans="1:5" ht="15">
      <c r="A890" s="13">
        <v>68972</v>
      </c>
      <c r="B890" s="4">
        <f>113.7753 * CHOOSE(CONTROL!$C$6, $C$13, 100%, $E$13) + CHOOSE(CONTROL!$C$25, 0.0003, 0)</f>
        <v>113.7756</v>
      </c>
      <c r="C890" s="4">
        <f>113.4628 * CHOOSE(CONTROL!$C$6, $C$13, 100%, $E$13) + CHOOSE(CONTROL!$C$25, 0.0003, 0)</f>
        <v>113.4631</v>
      </c>
      <c r="D890" s="4">
        <f>96.7691 * CHOOSE(CONTROL!$C$6, $C$13, 100%, $E$13) + CHOOSE(CONTROL!$C$25, 0, 0)</f>
        <v>96.769099999999995</v>
      </c>
      <c r="E890" s="4">
        <f>617.264957431359 * CHOOSE(CONTROL!$C$6, $C$13, 100%, $E$13) + CHOOSE(CONTROL!$C$25, 0, 0)</f>
        <v>617.26495743135899</v>
      </c>
    </row>
    <row r="891" spans="1:5" ht="15">
      <c r="A891" s="13">
        <v>69002</v>
      </c>
      <c r="B891" s="4">
        <f>111.2984 * CHOOSE(CONTROL!$C$6, $C$13, 100%, $E$13) + CHOOSE(CONTROL!$C$25, 0.0003, 0)</f>
        <v>111.2987</v>
      </c>
      <c r="C891" s="4">
        <f>110.9859 * CHOOSE(CONTROL!$C$6, $C$13, 100%, $E$13) + CHOOSE(CONTROL!$C$25, 0.0003, 0)</f>
        <v>110.9862</v>
      </c>
      <c r="D891" s="4">
        <f>96.312 * CHOOSE(CONTROL!$C$6, $C$13, 100%, $E$13) + CHOOSE(CONTROL!$C$25, 0, 0)</f>
        <v>96.311999999999998</v>
      </c>
      <c r="E891" s="4">
        <f>603.601719768957 * CHOOSE(CONTROL!$C$6, $C$13, 100%, $E$13) + CHOOSE(CONTROL!$C$25, 0, 0)</f>
        <v>603.60171976895697</v>
      </c>
    </row>
    <row r="892" spans="1:5" ht="15">
      <c r="A892" s="13">
        <v>69033</v>
      </c>
      <c r="B892" s="4">
        <f>109.5847 * CHOOSE(CONTROL!$C$6, $C$13, 100%, $E$13) + CHOOSE(CONTROL!$C$25, 0.0003, 0)</f>
        <v>109.58499999999999</v>
      </c>
      <c r="C892" s="4">
        <f>109.2722 * CHOOSE(CONTROL!$C$6, $C$13, 100%, $E$13) + CHOOSE(CONTROL!$C$25, 0.0003, 0)</f>
        <v>109.27249999999999</v>
      </c>
      <c r="D892" s="4">
        <f>92.9466 * CHOOSE(CONTROL!$C$6, $C$13, 100%, $E$13) + CHOOSE(CONTROL!$C$25, 0, 0)</f>
        <v>92.946600000000004</v>
      </c>
      <c r="E892" s="4">
        <f>594.148515639583 * CHOOSE(CONTROL!$C$6, $C$13, 100%, $E$13) + CHOOSE(CONTROL!$C$25, 0, 0)</f>
        <v>594.14851563958302</v>
      </c>
    </row>
    <row r="893" spans="1:5" ht="15">
      <c r="A893" s="13">
        <v>69064</v>
      </c>
      <c r="B893" s="4">
        <f>106.8003 * CHOOSE(CONTROL!$C$6, $C$13, 100%, $E$13) + CHOOSE(CONTROL!$C$25, 0.0003, 0)</f>
        <v>106.80059999999999</v>
      </c>
      <c r="C893" s="4">
        <f>106.4878 * CHOOSE(CONTROL!$C$6, $C$13, 100%, $E$13) + CHOOSE(CONTROL!$C$25, 0.0003, 0)</f>
        <v>106.48809999999999</v>
      </c>
      <c r="D893" s="4">
        <f>89.8536 * CHOOSE(CONTROL!$C$6, $C$13, 100%, $E$13) + CHOOSE(CONTROL!$C$25, 0, 0)</f>
        <v>89.8536</v>
      </c>
      <c r="E893" s="4">
        <f>577.110600330914 * CHOOSE(CONTROL!$C$6, $C$13, 100%, $E$13) + CHOOSE(CONTROL!$C$25, 0, 0)</f>
        <v>577.11060033091405</v>
      </c>
    </row>
    <row r="894" spans="1:5" ht="15">
      <c r="A894" s="13">
        <v>69092</v>
      </c>
      <c r="B894" s="4">
        <f>109.2916 * CHOOSE(CONTROL!$C$6, $C$13, 100%, $E$13) + CHOOSE(CONTROL!$C$25, 0.0003, 0)</f>
        <v>109.2919</v>
      </c>
      <c r="C894" s="4">
        <f>108.9791 * CHOOSE(CONTROL!$C$6, $C$13, 100%, $E$13) + CHOOSE(CONTROL!$C$25, 0.0003, 0)</f>
        <v>108.9794</v>
      </c>
      <c r="D894" s="4">
        <f>92.9683 * CHOOSE(CONTROL!$C$6, $C$13, 100%, $E$13) + CHOOSE(CONTROL!$C$25, 0, 0)</f>
        <v>92.968299999999999</v>
      </c>
      <c r="E894" s="4">
        <f>590.813480323383 * CHOOSE(CONTROL!$C$6, $C$13, 100%, $E$13) + CHOOSE(CONTROL!$C$25, 0, 0)</f>
        <v>590.81348032338303</v>
      </c>
    </row>
    <row r="895" spans="1:5" ht="15">
      <c r="A895" s="13">
        <v>69123</v>
      </c>
      <c r="B895" s="4">
        <f>115.834 * CHOOSE(CONTROL!$C$6, $C$13, 100%, $E$13) + CHOOSE(CONTROL!$C$25, 0.0003, 0)</f>
        <v>115.8343</v>
      </c>
      <c r="C895" s="4">
        <f>115.5215 * CHOOSE(CONTROL!$C$6, $C$13, 100%, $E$13) + CHOOSE(CONTROL!$C$25, 0.0003, 0)</f>
        <v>115.5218</v>
      </c>
      <c r="D895" s="4">
        <f>97.8441 * CHOOSE(CONTROL!$C$6, $C$13, 100%, $E$13) + CHOOSE(CONTROL!$C$25, 0, 0)</f>
        <v>97.844099999999997</v>
      </c>
      <c r="E895" s="4">
        <f>626.797971398875 * CHOOSE(CONTROL!$C$6, $C$13, 100%, $E$13) + CHOOSE(CONTROL!$C$25, 0, 0)</f>
        <v>626.79797139887501</v>
      </c>
    </row>
    <row r="896" spans="1:5" ht="15">
      <c r="A896" s="13">
        <v>69153</v>
      </c>
      <c r="B896" s="4">
        <f>120.4824 * CHOOSE(CONTROL!$C$6, $C$13, 100%, $E$13) + CHOOSE(CONTROL!$C$25, 0.0003, 0)</f>
        <v>120.48269999999999</v>
      </c>
      <c r="C896" s="4">
        <f>120.1699 * CHOOSE(CONTROL!$C$6, $C$13, 100%, $E$13) + CHOOSE(CONTROL!$C$25, 0.0003, 0)</f>
        <v>120.17019999999999</v>
      </c>
      <c r="D896" s="4">
        <f>100.6528 * CHOOSE(CONTROL!$C$6, $C$13, 100%, $E$13) + CHOOSE(CONTROL!$C$25, 0, 0)</f>
        <v>100.6528</v>
      </c>
      <c r="E896" s="4">
        <f>652.365431864409 * CHOOSE(CONTROL!$C$6, $C$13, 100%, $E$13) + CHOOSE(CONTROL!$C$25, 0, 0)</f>
        <v>652.36543186440895</v>
      </c>
    </row>
    <row r="897" spans="1:5" ht="15">
      <c r="A897" s="13">
        <v>69184</v>
      </c>
      <c r="B897" s="4">
        <f>123.3225 * CHOOSE(CONTROL!$C$6, $C$13, 100%, $E$13) + CHOOSE(CONTROL!$C$25, 0.0238, 0)</f>
        <v>123.3463</v>
      </c>
      <c r="C897" s="4">
        <f>123.01 * CHOOSE(CONTROL!$C$6, $C$13, 100%, $E$13) + CHOOSE(CONTROL!$C$25, 0.0238, 0)</f>
        <v>123.0338</v>
      </c>
      <c r="D897" s="4">
        <f>99.5429 * CHOOSE(CONTROL!$C$6, $C$13, 100%, $E$13) + CHOOSE(CONTROL!$C$25, 0, 0)</f>
        <v>99.542900000000003</v>
      </c>
      <c r="E897" s="4">
        <f>667.986537442344 * CHOOSE(CONTROL!$C$6, $C$13, 100%, $E$13) + CHOOSE(CONTROL!$C$25, 0, 0)</f>
        <v>667.986537442344</v>
      </c>
    </row>
    <row r="898" spans="1:5" ht="15">
      <c r="A898" s="13">
        <v>69214</v>
      </c>
      <c r="B898" s="4">
        <f>123.7068 * CHOOSE(CONTROL!$C$6, $C$13, 100%, $E$13) + CHOOSE(CONTROL!$C$25, 0.0238, 0)</f>
        <v>123.7306</v>
      </c>
      <c r="C898" s="4">
        <f>123.3943 * CHOOSE(CONTROL!$C$6, $C$13, 100%, $E$13) + CHOOSE(CONTROL!$C$25, 0.0238, 0)</f>
        <v>123.4181</v>
      </c>
      <c r="D898" s="4">
        <f>100.4468 * CHOOSE(CONTROL!$C$6, $C$13, 100%, $E$13) + CHOOSE(CONTROL!$C$25, 0, 0)</f>
        <v>100.4468</v>
      </c>
      <c r="E898" s="4">
        <f>670.100137855958 * CHOOSE(CONTROL!$C$6, $C$13, 100%, $E$13) + CHOOSE(CONTROL!$C$25, 0, 0)</f>
        <v>670.100137855958</v>
      </c>
    </row>
    <row r="899" spans="1:5" ht="15">
      <c r="A899" s="13">
        <v>69245</v>
      </c>
      <c r="B899" s="4">
        <f>123.6681 * CHOOSE(CONTROL!$C$6, $C$13, 100%, $E$13) + CHOOSE(CONTROL!$C$25, 0.0238, 0)</f>
        <v>123.69189999999999</v>
      </c>
      <c r="C899" s="4">
        <f>123.3556 * CHOOSE(CONTROL!$C$6, $C$13, 100%, $E$13) + CHOOSE(CONTROL!$C$25, 0.0238, 0)</f>
        <v>123.37939999999999</v>
      </c>
      <c r="D899" s="4">
        <f>102.0777 * CHOOSE(CONTROL!$C$6, $C$13, 100%, $E$13) + CHOOSE(CONTROL!$C$25, 0, 0)</f>
        <v>102.07769999999999</v>
      </c>
      <c r="E899" s="4">
        <f>669.887001679796 * CHOOSE(CONTROL!$C$6, $C$13, 100%, $E$13) + CHOOSE(CONTROL!$C$25, 0, 0)</f>
        <v>669.88700167979596</v>
      </c>
    </row>
    <row r="900" spans="1:5" ht="15">
      <c r="A900" s="13">
        <v>69276</v>
      </c>
      <c r="B900" s="4">
        <f>126.584 * CHOOSE(CONTROL!$C$6, $C$13, 100%, $E$13) + CHOOSE(CONTROL!$C$25, 0.0238, 0)</f>
        <v>126.6078</v>
      </c>
      <c r="C900" s="4">
        <f>126.2715 * CHOOSE(CONTROL!$C$6, $C$13, 100%, $E$13) + CHOOSE(CONTROL!$C$25, 0.0238, 0)</f>
        <v>126.2953</v>
      </c>
      <c r="D900" s="4">
        <f>101.0007 * CHOOSE(CONTROL!$C$6, $C$13, 100%, $E$13) + CHOOSE(CONTROL!$C$25, 0, 0)</f>
        <v>101.00069999999999</v>
      </c>
      <c r="E900" s="4">
        <f>685.925498936049 * CHOOSE(CONTROL!$C$6, $C$13, 100%, $E$13) + CHOOSE(CONTROL!$C$25, 0, 0)</f>
        <v>685.92549893604905</v>
      </c>
    </row>
    <row r="901" spans="1:5" ht="15">
      <c r="A901" s="13">
        <v>69306</v>
      </c>
      <c r="B901" s="4">
        <f>121.6143 * CHOOSE(CONTROL!$C$6, $C$13, 100%, $E$13) + CHOOSE(CONTROL!$C$25, 0.0238, 0)</f>
        <v>121.63809999999999</v>
      </c>
      <c r="C901" s="4">
        <f>121.3018 * CHOOSE(CONTROL!$C$6, $C$13, 100%, $E$13) + CHOOSE(CONTROL!$C$25, 0.0238, 0)</f>
        <v>121.32559999999999</v>
      </c>
      <c r="D901" s="4">
        <f>100.4918 * CHOOSE(CONTROL!$C$6, $C$13, 100%, $E$13) + CHOOSE(CONTROL!$C$25, 0, 0)</f>
        <v>100.4918</v>
      </c>
      <c r="E901" s="4">
        <f>658.590784343165 * CHOOSE(CONTROL!$C$6, $C$13, 100%, $E$13) + CHOOSE(CONTROL!$C$25, 0, 0)</f>
        <v>658.59078434316496</v>
      </c>
    </row>
    <row r="902" spans="1:5" ht="15">
      <c r="A902" s="13">
        <v>69337</v>
      </c>
      <c r="B902" s="4">
        <f>117.6359 * CHOOSE(CONTROL!$C$6, $C$13, 100%, $E$13) + CHOOSE(CONTROL!$C$25, 0.0003, 0)</f>
        <v>117.6362</v>
      </c>
      <c r="C902" s="4">
        <f>117.3234 * CHOOSE(CONTROL!$C$6, $C$13, 100%, $E$13) + CHOOSE(CONTROL!$C$25, 0.0003, 0)</f>
        <v>117.3237</v>
      </c>
      <c r="D902" s="4">
        <f>99.1292 * CHOOSE(CONTROL!$C$6, $C$13, 100%, $E$13) + CHOOSE(CONTROL!$C$25, 0, 0)</f>
        <v>99.129199999999997</v>
      </c>
      <c r="E902" s="4">
        <f>636.708803590447 * CHOOSE(CONTROL!$C$6, $C$13, 100%, $E$13) + CHOOSE(CONTROL!$C$25, 0, 0)</f>
        <v>636.70880359044702</v>
      </c>
    </row>
    <row r="903" spans="1:5" ht="15">
      <c r="A903" s="13">
        <v>69367</v>
      </c>
      <c r="B903" s="4">
        <f>115.0735 * CHOOSE(CONTROL!$C$6, $C$13, 100%, $E$13) + CHOOSE(CONTROL!$C$25, 0.0003, 0)</f>
        <v>115.07379999999999</v>
      </c>
      <c r="C903" s="4">
        <f>114.761 * CHOOSE(CONTROL!$C$6, $C$13, 100%, $E$13) + CHOOSE(CONTROL!$C$25, 0.0003, 0)</f>
        <v>114.76129999999999</v>
      </c>
      <c r="D903" s="4">
        <f>98.6607 * CHOOSE(CONTROL!$C$6, $C$13, 100%, $E$13) + CHOOSE(CONTROL!$C$25, 0, 0)</f>
        <v>98.660700000000006</v>
      </c>
      <c r="E903" s="4">
        <f>622.61517394168 * CHOOSE(CONTROL!$C$6, $C$13, 100%, $E$13) + CHOOSE(CONTROL!$C$25, 0, 0)</f>
        <v>622.61517394168004</v>
      </c>
    </row>
    <row r="904" spans="1:5" ht="15">
      <c r="A904" s="13">
        <v>69398</v>
      </c>
      <c r="B904" s="4">
        <f>113.3007 * CHOOSE(CONTROL!$C$6, $C$13, 100%, $E$13) + CHOOSE(CONTROL!$C$25, 0.0003, 0)</f>
        <v>113.301</v>
      </c>
      <c r="C904" s="4">
        <f>112.9882 * CHOOSE(CONTROL!$C$6, $C$13, 100%, $E$13) + CHOOSE(CONTROL!$C$25, 0.0003, 0)</f>
        <v>112.9885</v>
      </c>
      <c r="D904" s="4">
        <f>95.212 * CHOOSE(CONTROL!$C$6, $C$13, 100%, $E$13) + CHOOSE(CONTROL!$C$25, 0, 0)</f>
        <v>95.212000000000003</v>
      </c>
      <c r="E904" s="4">
        <f>612.86419388223 * CHOOSE(CONTROL!$C$6, $C$13, 100%, $E$13) + CHOOSE(CONTROL!$C$25, 0, 0)</f>
        <v>612.86419388222998</v>
      </c>
    </row>
    <row r="905" spans="1:5" ht="15">
      <c r="A905" s="13">
        <v>69429</v>
      </c>
      <c r="B905" s="4">
        <f>110.4202 * CHOOSE(CONTROL!$C$6, $C$13, 100%, $E$13) + CHOOSE(CONTROL!$C$25, 0.0003, 0)</f>
        <v>110.42049999999999</v>
      </c>
      <c r="C905" s="4">
        <f>110.1077 * CHOOSE(CONTROL!$C$6, $C$13, 100%, $E$13) + CHOOSE(CONTROL!$C$25, 0.0003, 0)</f>
        <v>110.10799999999999</v>
      </c>
      <c r="D905" s="4">
        <f>92.0422 * CHOOSE(CONTROL!$C$6, $C$13, 100%, $E$13) + CHOOSE(CONTROL!$C$25, 0, 0)</f>
        <v>92.042199999999994</v>
      </c>
      <c r="E905" s="4">
        <f>595.289584241338 * CHOOSE(CONTROL!$C$6, $C$13, 100%, $E$13) + CHOOSE(CONTROL!$C$25, 0, 0)</f>
        <v>595.28958424133805</v>
      </c>
    </row>
    <row r="906" spans="1:5" ht="15">
      <c r="A906" s="13">
        <v>69457</v>
      </c>
      <c r="B906" s="4">
        <f>112.9975 * CHOOSE(CONTROL!$C$6, $C$13, 100%, $E$13) + CHOOSE(CONTROL!$C$25, 0.0003, 0)</f>
        <v>112.9978</v>
      </c>
      <c r="C906" s="4">
        <f>112.685 * CHOOSE(CONTROL!$C$6, $C$13, 100%, $E$13) + CHOOSE(CONTROL!$C$25, 0.0003, 0)</f>
        <v>112.6853</v>
      </c>
      <c r="D906" s="4">
        <f>95.2342 * CHOOSE(CONTROL!$C$6, $C$13, 100%, $E$13) + CHOOSE(CONTROL!$C$25, 0, 0)</f>
        <v>95.234200000000001</v>
      </c>
      <c r="E906" s="4">
        <f>609.42410495357 * CHOOSE(CONTROL!$C$6, $C$13, 100%, $E$13) + CHOOSE(CONTROL!$C$25, 0, 0)</f>
        <v>609.42410495357001</v>
      </c>
    </row>
    <row r="907" spans="1:5" ht="15">
      <c r="A907" s="13">
        <v>69488</v>
      </c>
      <c r="B907" s="4">
        <f>119.7656 * CHOOSE(CONTROL!$C$6, $C$13, 100%, $E$13) + CHOOSE(CONTROL!$C$25, 0.0003, 0)</f>
        <v>119.7659</v>
      </c>
      <c r="C907" s="4">
        <f>119.4531 * CHOOSE(CONTROL!$C$6, $C$13, 100%, $E$13) + CHOOSE(CONTROL!$C$25, 0.0003, 0)</f>
        <v>119.4534</v>
      </c>
      <c r="D907" s="4">
        <f>100.2309 * CHOOSE(CONTROL!$C$6, $C$13, 100%, $E$13) + CHOOSE(CONTROL!$C$25, 0, 0)</f>
        <v>100.23090000000001</v>
      </c>
      <c r="E907" s="4">
        <f>646.54210749794 * CHOOSE(CONTROL!$C$6, $C$13, 100%, $E$13) + CHOOSE(CONTROL!$C$25, 0, 0)</f>
        <v>646.54210749794004</v>
      </c>
    </row>
    <row r="908" spans="1:5" ht="15">
      <c r="A908" s="13">
        <v>69518</v>
      </c>
      <c r="B908" s="4">
        <f>124.5744 * CHOOSE(CONTROL!$C$6, $C$13, 100%, $E$13) + CHOOSE(CONTROL!$C$25, 0.0003, 0)</f>
        <v>124.57469999999999</v>
      </c>
      <c r="C908" s="4">
        <f>124.2619 * CHOOSE(CONTROL!$C$6, $C$13, 100%, $E$13) + CHOOSE(CONTROL!$C$25, 0.0003, 0)</f>
        <v>124.26219999999999</v>
      </c>
      <c r="D908" s="4">
        <f>103.1092 * CHOOSE(CONTROL!$C$6, $C$13, 100%, $E$13) + CHOOSE(CONTROL!$C$25, 0, 0)</f>
        <v>103.1092</v>
      </c>
      <c r="E908" s="4">
        <f>672.914942968138 * CHOOSE(CONTROL!$C$6, $C$13, 100%, $E$13) + CHOOSE(CONTROL!$C$25, 0, 0)</f>
        <v>672.91494296813801</v>
      </c>
    </row>
    <row r="909" spans="1:5" ht="15">
      <c r="A909" s="13">
        <v>69549</v>
      </c>
      <c r="B909" s="4">
        <f>127.5125 * CHOOSE(CONTROL!$C$6, $C$13, 100%, $E$13) + CHOOSE(CONTROL!$C$25, 0.0238, 0)</f>
        <v>127.5363</v>
      </c>
      <c r="C909" s="4">
        <f>127.2 * CHOOSE(CONTROL!$C$6, $C$13, 100%, $E$13) + CHOOSE(CONTROL!$C$25, 0.0238, 0)</f>
        <v>127.2238</v>
      </c>
      <c r="D909" s="4">
        <f>101.9718 * CHOOSE(CONTROL!$C$6, $C$13, 100%, $E$13) + CHOOSE(CONTROL!$C$25, 0, 0)</f>
        <v>101.9718</v>
      </c>
      <c r="E909" s="4">
        <f>689.028113371778 * CHOOSE(CONTROL!$C$6, $C$13, 100%, $E$13) + CHOOSE(CONTROL!$C$25, 0, 0)</f>
        <v>689.02811337177798</v>
      </c>
    </row>
    <row r="910" spans="1:5" ht="15">
      <c r="A910" s="13">
        <v>69579</v>
      </c>
      <c r="B910" s="4">
        <f>127.91 * CHOOSE(CONTROL!$C$6, $C$13, 100%, $E$13) + CHOOSE(CONTROL!$C$25, 0.0238, 0)</f>
        <v>127.93379999999999</v>
      </c>
      <c r="C910" s="4">
        <f>127.5975 * CHOOSE(CONTROL!$C$6, $C$13, 100%, $E$13) + CHOOSE(CONTROL!$C$25, 0.0238, 0)</f>
        <v>127.62129999999999</v>
      </c>
      <c r="D910" s="4">
        <f>102.8981 * CHOOSE(CONTROL!$C$6, $C$13, 100%, $E$13) + CHOOSE(CONTROL!$C$25, 0, 0)</f>
        <v>102.8981</v>
      </c>
      <c r="E910" s="4">
        <f>691.208292198421 * CHOOSE(CONTROL!$C$6, $C$13, 100%, $E$13) + CHOOSE(CONTROL!$C$25, 0, 0)</f>
        <v>691.20829219842096</v>
      </c>
    </row>
    <row r="911" spans="1:5" ht="15">
      <c r="A911" s="13">
        <v>69610</v>
      </c>
      <c r="B911" s="4">
        <f>127.8699 * CHOOSE(CONTROL!$C$6, $C$13, 100%, $E$13) + CHOOSE(CONTROL!$C$25, 0.0238, 0)</f>
        <v>127.8937</v>
      </c>
      <c r="C911" s="4">
        <f>127.5574 * CHOOSE(CONTROL!$C$6, $C$13, 100%, $E$13) + CHOOSE(CONTROL!$C$25, 0.0238, 0)</f>
        <v>127.5812</v>
      </c>
      <c r="D911" s="4">
        <f>104.5695 * CHOOSE(CONTROL!$C$6, $C$13, 100%, $E$13) + CHOOSE(CONTROL!$C$25, 0, 0)</f>
        <v>104.56950000000001</v>
      </c>
      <c r="E911" s="4">
        <f>690.988442232709 * CHOOSE(CONTROL!$C$6, $C$13, 100%, $E$13) + CHOOSE(CONTROL!$C$25, 0, 0)</f>
        <v>690.98844223270896</v>
      </c>
    </row>
    <row r="912" spans="1:5" ht="15">
      <c r="A912" s="13">
        <v>69641</v>
      </c>
      <c r="B912" s="4">
        <f>130.8865 * CHOOSE(CONTROL!$C$6, $C$13, 100%, $E$13) + CHOOSE(CONTROL!$C$25, 0.0238, 0)</f>
        <v>130.91030000000001</v>
      </c>
      <c r="C912" s="4">
        <f>130.574 * CHOOSE(CONTROL!$C$6, $C$13, 100%, $E$13) + CHOOSE(CONTROL!$C$25, 0.0238, 0)</f>
        <v>130.59780000000001</v>
      </c>
      <c r="D912" s="4">
        <f>103.4657 * CHOOSE(CONTROL!$C$6, $C$13, 100%, $E$13) + CHOOSE(CONTROL!$C$25, 0, 0)</f>
        <v>103.4657</v>
      </c>
      <c r="E912" s="4">
        <f>707.532152152535 * CHOOSE(CONTROL!$C$6, $C$13, 100%, $E$13) + CHOOSE(CONTROL!$C$25, 0, 0)</f>
        <v>707.53215215253499</v>
      </c>
    </row>
    <row r="913" spans="1:5" ht="15">
      <c r="A913" s="13">
        <v>69671</v>
      </c>
      <c r="B913" s="4">
        <f>125.7453 * CHOOSE(CONTROL!$C$6, $C$13, 100%, $E$13) + CHOOSE(CONTROL!$C$25, 0.0238, 0)</f>
        <v>125.76909999999999</v>
      </c>
      <c r="C913" s="4">
        <f>125.4328 * CHOOSE(CONTROL!$C$6, $C$13, 100%, $E$13) + CHOOSE(CONTROL!$C$25, 0.0238, 0)</f>
        <v>125.45659999999999</v>
      </c>
      <c r="D913" s="4">
        <f>102.9442 * CHOOSE(CONTROL!$C$6, $C$13, 100%, $E$13) + CHOOSE(CONTROL!$C$25, 0, 0)</f>
        <v>102.9442</v>
      </c>
      <c r="E913" s="4">
        <f>679.336394049975 * CHOOSE(CONTROL!$C$6, $C$13, 100%, $E$13) + CHOOSE(CONTROL!$C$25, 0, 0)</f>
        <v>679.33639404997496</v>
      </c>
    </row>
    <row r="914" spans="1:5" ht="15">
      <c r="A914" s="13">
        <v>69702</v>
      </c>
      <c r="B914" s="4">
        <f>121.6296 * CHOOSE(CONTROL!$C$6, $C$13, 100%, $E$13) + CHOOSE(CONTROL!$C$25, 0.0003, 0)</f>
        <v>121.62989999999999</v>
      </c>
      <c r="C914" s="4">
        <f>121.3171 * CHOOSE(CONTROL!$C$6, $C$13, 100%, $E$13) + CHOOSE(CONTROL!$C$25, 0.0003, 0)</f>
        <v>121.31739999999999</v>
      </c>
      <c r="D914" s="4">
        <f>101.5478 * CHOOSE(CONTROL!$C$6, $C$13, 100%, $E$13) + CHOOSE(CONTROL!$C$25, 0, 0)</f>
        <v>101.5478</v>
      </c>
      <c r="E914" s="4">
        <f>656.765130903546 * CHOOSE(CONTROL!$C$6, $C$13, 100%, $E$13) + CHOOSE(CONTROL!$C$25, 0, 0)</f>
        <v>656.76513090354604</v>
      </c>
    </row>
    <row r="915" spans="1:5" ht="15">
      <c r="A915" s="13">
        <v>69732</v>
      </c>
      <c r="B915" s="4">
        <f>118.9789 * CHOOSE(CONTROL!$C$6, $C$13, 100%, $E$13) + CHOOSE(CONTROL!$C$25, 0.0003, 0)</f>
        <v>118.97919999999999</v>
      </c>
      <c r="C915" s="4">
        <f>118.6664 * CHOOSE(CONTROL!$C$6, $C$13, 100%, $E$13) + CHOOSE(CONTROL!$C$25, 0.0003, 0)</f>
        <v>118.66669999999999</v>
      </c>
      <c r="D915" s="4">
        <f>101.0678 * CHOOSE(CONTROL!$C$6, $C$13, 100%, $E$13) + CHOOSE(CONTROL!$C$25, 0, 0)</f>
        <v>101.06780000000001</v>
      </c>
      <c r="E915" s="4">
        <f>642.227551920843 * CHOOSE(CONTROL!$C$6, $C$13, 100%, $E$13) + CHOOSE(CONTROL!$C$25, 0, 0)</f>
        <v>642.22755192084298</v>
      </c>
    </row>
    <row r="916" spans="1:5" ht="15">
      <c r="A916" s="13">
        <v>69763</v>
      </c>
      <c r="B916" s="4">
        <f>117.1449 * CHOOSE(CONTROL!$C$6, $C$13, 100%, $E$13) + CHOOSE(CONTROL!$C$25, 0.0003, 0)</f>
        <v>117.1452</v>
      </c>
      <c r="C916" s="4">
        <f>116.8324 * CHOOSE(CONTROL!$C$6, $C$13, 100%, $E$13) + CHOOSE(CONTROL!$C$25, 0.0003, 0)</f>
        <v>116.8327</v>
      </c>
      <c r="D916" s="4">
        <f>97.5334 * CHOOSE(CONTROL!$C$6, $C$13, 100%, $E$13) + CHOOSE(CONTROL!$C$25, 0, 0)</f>
        <v>97.5334</v>
      </c>
      <c r="E916" s="4">
        <f>632.16941598952 * CHOOSE(CONTROL!$C$6, $C$13, 100%, $E$13) + CHOOSE(CONTROL!$C$25, 0, 0)</f>
        <v>632.16941598951996</v>
      </c>
    </row>
    <row r="917" spans="1:5" ht="15">
      <c r="A917" s="13">
        <v>69794</v>
      </c>
      <c r="B917" s="4">
        <f>114.165 * CHOOSE(CONTROL!$C$6, $C$13, 100%, $E$13) + CHOOSE(CONTROL!$C$25, 0.0003, 0)</f>
        <v>114.1653</v>
      </c>
      <c r="C917" s="4">
        <f>113.8525 * CHOOSE(CONTROL!$C$6, $C$13, 100%, $E$13) + CHOOSE(CONTROL!$C$25, 0.0003, 0)</f>
        <v>113.8528</v>
      </c>
      <c r="D917" s="4">
        <f>94.2851 * CHOOSE(CONTROL!$C$6, $C$13, 100%, $E$13) + CHOOSE(CONTROL!$C$25, 0, 0)</f>
        <v>94.2851</v>
      </c>
      <c r="E917" s="4">
        <f>614.04120614494 * CHOOSE(CONTROL!$C$6, $C$13, 100%, $E$13) + CHOOSE(CONTROL!$C$25, 0, 0)</f>
        <v>614.04120614494002</v>
      </c>
    </row>
    <row r="918" spans="1:5" ht="15">
      <c r="A918" s="13">
        <v>69822</v>
      </c>
      <c r="B918" s="4">
        <f>116.8312 * CHOOSE(CONTROL!$C$6, $C$13, 100%, $E$13) + CHOOSE(CONTROL!$C$25, 0.0003, 0)</f>
        <v>116.83149999999999</v>
      </c>
      <c r="C918" s="4">
        <f>116.5187 * CHOOSE(CONTROL!$C$6, $C$13, 100%, $E$13) + CHOOSE(CONTROL!$C$25, 0.0003, 0)</f>
        <v>116.51899999999999</v>
      </c>
      <c r="D918" s="4">
        <f>97.5562 * CHOOSE(CONTROL!$C$6, $C$13, 100%, $E$13) + CHOOSE(CONTROL!$C$25, 0, 0)</f>
        <v>97.556200000000004</v>
      </c>
      <c r="E918" s="4">
        <f>628.620964259607 * CHOOSE(CONTROL!$C$6, $C$13, 100%, $E$13) + CHOOSE(CONTROL!$C$25, 0, 0)</f>
        <v>628.62096425960704</v>
      </c>
    </row>
    <row r="919" spans="1:5" ht="15">
      <c r="A919" s="13">
        <v>69853</v>
      </c>
      <c r="B919" s="4">
        <f>123.8328 * CHOOSE(CONTROL!$C$6, $C$13, 100%, $E$13) + CHOOSE(CONTROL!$C$25, 0.0003, 0)</f>
        <v>123.8331</v>
      </c>
      <c r="C919" s="4">
        <f>123.5203 * CHOOSE(CONTROL!$C$6, $C$13, 100%, $E$13) + CHOOSE(CONTROL!$C$25, 0.0003, 0)</f>
        <v>123.5206</v>
      </c>
      <c r="D919" s="4">
        <f>102.6769 * CHOOSE(CONTROL!$C$6, $C$13, 100%, $E$13) + CHOOSE(CONTROL!$C$25, 0, 0)</f>
        <v>102.6769</v>
      </c>
      <c r="E919" s="4">
        <f>666.908183884125 * CHOOSE(CONTROL!$C$6, $C$13, 100%, $E$13) + CHOOSE(CONTROL!$C$25, 0, 0)</f>
        <v>666.90818388412504</v>
      </c>
    </row>
    <row r="920" spans="1:5" ht="15">
      <c r="A920" s="13">
        <v>69883</v>
      </c>
      <c r="B920" s="4">
        <f>128.8075 * CHOOSE(CONTROL!$C$6, $C$13, 100%, $E$13) + CHOOSE(CONTROL!$C$25, 0.0003, 0)</f>
        <v>128.80780000000001</v>
      </c>
      <c r="C920" s="4">
        <f>128.495 * CHOOSE(CONTROL!$C$6, $C$13, 100%, $E$13) + CHOOSE(CONTROL!$C$25, 0.0003, 0)</f>
        <v>128.49530000000001</v>
      </c>
      <c r="D920" s="4">
        <f>105.6265 * CHOOSE(CONTROL!$C$6, $C$13, 100%, $E$13) + CHOOSE(CONTROL!$C$25, 0, 0)</f>
        <v>105.62649999999999</v>
      </c>
      <c r="E920" s="4">
        <f>694.111763671635 * CHOOSE(CONTROL!$C$6, $C$13, 100%, $E$13) + CHOOSE(CONTROL!$C$25, 0, 0)</f>
        <v>694.111763671635</v>
      </c>
    </row>
    <row r="921" spans="1:5" ht="15">
      <c r="A921" s="13">
        <v>69914</v>
      </c>
      <c r="B921" s="4">
        <f>131.847 * CHOOSE(CONTROL!$C$6, $C$13, 100%, $E$13) + CHOOSE(CONTROL!$C$25, 0.0238, 0)</f>
        <v>131.8708</v>
      </c>
      <c r="C921" s="4">
        <f>131.5345 * CHOOSE(CONTROL!$C$6, $C$13, 100%, $E$13) + CHOOSE(CONTROL!$C$25, 0.0238, 0)</f>
        <v>131.5583</v>
      </c>
      <c r="D921" s="4">
        <f>104.461 * CHOOSE(CONTROL!$C$6, $C$13, 100%, $E$13) + CHOOSE(CONTROL!$C$25, 0, 0)</f>
        <v>104.461</v>
      </c>
      <c r="E921" s="4">
        <f>710.732498942989 * CHOOSE(CONTROL!$C$6, $C$13, 100%, $E$13) + CHOOSE(CONTROL!$C$25, 0, 0)</f>
        <v>710.73249894298897</v>
      </c>
    </row>
    <row r="922" spans="1:5" ht="15">
      <c r="A922" s="13">
        <v>69944</v>
      </c>
      <c r="B922" s="4">
        <f>132.2582 * CHOOSE(CONTROL!$C$6, $C$13, 100%, $E$13) + CHOOSE(CONTROL!$C$25, 0.0238, 0)</f>
        <v>132.28199999999998</v>
      </c>
      <c r="C922" s="4">
        <f>131.9457 * CHOOSE(CONTROL!$C$6, $C$13, 100%, $E$13) + CHOOSE(CONTROL!$C$25, 0.0238, 0)</f>
        <v>131.96949999999998</v>
      </c>
      <c r="D922" s="4">
        <f>105.4102 * CHOOSE(CONTROL!$C$6, $C$13, 100%, $E$13) + CHOOSE(CONTROL!$C$25, 0, 0)</f>
        <v>105.4102</v>
      </c>
      <c r="E922" s="4">
        <f>712.981353402671 * CHOOSE(CONTROL!$C$6, $C$13, 100%, $E$13) + CHOOSE(CONTROL!$C$25, 0, 0)</f>
        <v>712.98135340267095</v>
      </c>
    </row>
    <row r="923" spans="1:5" ht="15">
      <c r="A923" s="13">
        <v>69975</v>
      </c>
      <c r="B923" s="4">
        <f>132.2167 * CHOOSE(CONTROL!$C$6, $C$13, 100%, $E$13) + CHOOSE(CONTROL!$C$25, 0.0238, 0)</f>
        <v>132.2405</v>
      </c>
      <c r="C923" s="4">
        <f>131.9042 * CHOOSE(CONTROL!$C$6, $C$13, 100%, $E$13) + CHOOSE(CONTROL!$C$25, 0.0238, 0)</f>
        <v>131.928</v>
      </c>
      <c r="D923" s="4">
        <f>107.1231 * CHOOSE(CONTROL!$C$6, $C$13, 100%, $E$13) + CHOOSE(CONTROL!$C$25, 0, 0)</f>
        <v>107.12309999999999</v>
      </c>
      <c r="E923" s="4">
        <f>712.75457816304 * CHOOSE(CONTROL!$C$6, $C$13, 100%, $E$13) + CHOOSE(CONTROL!$C$25, 0, 0)</f>
        <v>712.75457816304004</v>
      </c>
    </row>
    <row r="924" spans="1:5" ht="15">
      <c r="A924" s="13">
        <v>70006</v>
      </c>
      <c r="B924" s="4">
        <f>135.3374 * CHOOSE(CONTROL!$C$6, $C$13, 100%, $E$13) + CHOOSE(CONTROL!$C$25, 0.0238, 0)</f>
        <v>135.3612</v>
      </c>
      <c r="C924" s="4">
        <f>135.0249 * CHOOSE(CONTROL!$C$6, $C$13, 100%, $E$13) + CHOOSE(CONTROL!$C$25, 0.0238, 0)</f>
        <v>135.0487</v>
      </c>
      <c r="D924" s="4">
        <f>105.9919 * CHOOSE(CONTROL!$C$6, $C$13, 100%, $E$13) + CHOOSE(CONTROL!$C$25, 0, 0)</f>
        <v>105.9919</v>
      </c>
      <c r="E924" s="4">
        <f>729.81941494534 * CHOOSE(CONTROL!$C$6, $C$13, 100%, $E$13) + CHOOSE(CONTROL!$C$25, 0, 0)</f>
        <v>729.81941494533999</v>
      </c>
    </row>
    <row r="925" spans="1:5" ht="15">
      <c r="A925" s="13">
        <v>70036</v>
      </c>
      <c r="B925" s="4">
        <f>130.0188 * CHOOSE(CONTROL!$C$6, $C$13, 100%, $E$13) + CHOOSE(CONTROL!$C$25, 0.0238, 0)</f>
        <v>130.04259999999999</v>
      </c>
      <c r="C925" s="4">
        <f>129.7063 * CHOOSE(CONTROL!$C$6, $C$13, 100%, $E$13) + CHOOSE(CONTROL!$C$25, 0.0238, 0)</f>
        <v>129.73009999999999</v>
      </c>
      <c r="D925" s="4">
        <f>105.4575 * CHOOSE(CONTROL!$C$6, $C$13, 100%, $E$13) + CHOOSE(CONTROL!$C$25, 0, 0)</f>
        <v>105.4575</v>
      </c>
      <c r="E925" s="4">
        <f>700.735490462549 * CHOOSE(CONTROL!$C$6, $C$13, 100%, $E$13) + CHOOSE(CONTROL!$C$25, 0, 0)</f>
        <v>700.73549046254902</v>
      </c>
    </row>
    <row r="926" spans="1:5" ht="15">
      <c r="A926" s="13">
        <v>70067</v>
      </c>
      <c r="B926" s="4">
        <f>125.7612 * CHOOSE(CONTROL!$C$6, $C$13, 100%, $E$13) + CHOOSE(CONTROL!$C$25, 0.0003, 0)</f>
        <v>125.7615</v>
      </c>
      <c r="C926" s="4">
        <f>125.4487 * CHOOSE(CONTROL!$C$6, $C$13, 100%, $E$13) + CHOOSE(CONTROL!$C$25, 0.0003, 0)</f>
        <v>125.449</v>
      </c>
      <c r="D926" s="4">
        <f>104.0265 * CHOOSE(CONTROL!$C$6, $C$13, 100%, $E$13) + CHOOSE(CONTROL!$C$25, 0, 0)</f>
        <v>104.0265</v>
      </c>
      <c r="E926" s="4">
        <f>677.453232527008 * CHOOSE(CONTROL!$C$6, $C$13, 100%, $E$13) + CHOOSE(CONTROL!$C$25, 0, 0)</f>
        <v>677.45323252700803</v>
      </c>
    </row>
    <row r="927" spans="1:5" ht="15">
      <c r="A927" s="13">
        <v>70097</v>
      </c>
      <c r="B927" s="4">
        <f>123.0189 * CHOOSE(CONTROL!$C$6, $C$13, 100%, $E$13) + CHOOSE(CONTROL!$C$25, 0.0003, 0)</f>
        <v>123.0192</v>
      </c>
      <c r="C927" s="4">
        <f>122.7064 * CHOOSE(CONTROL!$C$6, $C$13, 100%, $E$13) + CHOOSE(CONTROL!$C$25, 0.0003, 0)</f>
        <v>122.7067</v>
      </c>
      <c r="D927" s="4">
        <f>103.5345 * CHOOSE(CONTROL!$C$6, $C$13, 100%, $E$13) + CHOOSE(CONTROL!$C$25, 0, 0)</f>
        <v>103.53449999999999</v>
      </c>
      <c r="E927" s="4">
        <f>662.457719806349 * CHOOSE(CONTROL!$C$6, $C$13, 100%, $E$13) + CHOOSE(CONTROL!$C$25, 0, 0)</f>
        <v>662.45771980634902</v>
      </c>
    </row>
    <row r="928" spans="1:5" ht="15">
      <c r="A928" s="13">
        <v>70128</v>
      </c>
      <c r="B928" s="4">
        <f>121.1217 * CHOOSE(CONTROL!$C$6, $C$13, 100%, $E$13) + CHOOSE(CONTROL!$C$25, 0.0003, 0)</f>
        <v>121.122</v>
      </c>
      <c r="C928" s="4">
        <f>120.8092 * CHOOSE(CONTROL!$C$6, $C$13, 100%, $E$13) + CHOOSE(CONTROL!$C$25, 0.0003, 0)</f>
        <v>120.8095</v>
      </c>
      <c r="D928" s="4">
        <f>99.9125 * CHOOSE(CONTROL!$C$6, $C$13, 100%, $E$13) + CHOOSE(CONTROL!$C$25, 0, 0)</f>
        <v>99.912499999999994</v>
      </c>
      <c r="E928" s="4">
        <f>652.08275259319 * CHOOSE(CONTROL!$C$6, $C$13, 100%, $E$13) + CHOOSE(CONTROL!$C$25, 0, 0)</f>
        <v>652.08275259318998</v>
      </c>
    </row>
    <row r="929" spans="1:5" ht="15">
      <c r="A929" s="13">
        <v>70159</v>
      </c>
      <c r="B929" s="4">
        <f>118.039 * CHOOSE(CONTROL!$C$6, $C$13, 100%, $E$13) + CHOOSE(CONTROL!$C$25, 0.0003, 0)</f>
        <v>118.0393</v>
      </c>
      <c r="C929" s="4">
        <f>117.7265 * CHOOSE(CONTROL!$C$6, $C$13, 100%, $E$13) + CHOOSE(CONTROL!$C$25, 0.0003, 0)</f>
        <v>117.7268</v>
      </c>
      <c r="D929" s="4">
        <f>96.5836 * CHOOSE(CONTROL!$C$6, $C$13, 100%, $E$13) + CHOOSE(CONTROL!$C$25, 0, 0)</f>
        <v>96.583600000000004</v>
      </c>
      <c r="E929" s="4">
        <f>633.383504138506 * CHOOSE(CONTROL!$C$6, $C$13, 100%, $E$13) + CHOOSE(CONTROL!$C$25, 0, 0)</f>
        <v>633.38350413850605</v>
      </c>
    </row>
    <row r="930" spans="1:5" ht="15">
      <c r="A930" s="13">
        <v>70188</v>
      </c>
      <c r="B930" s="4">
        <f>120.7972 * CHOOSE(CONTROL!$C$6, $C$13, 100%, $E$13) + CHOOSE(CONTROL!$C$25, 0.0003, 0)</f>
        <v>120.7975</v>
      </c>
      <c r="C930" s="4">
        <f>120.4847 * CHOOSE(CONTROL!$C$6, $C$13, 100%, $E$13) + CHOOSE(CONTROL!$C$25, 0.0003, 0)</f>
        <v>120.485</v>
      </c>
      <c r="D930" s="4">
        <f>99.9358 * CHOOSE(CONTROL!$C$6, $C$13, 100%, $E$13) + CHOOSE(CONTROL!$C$25, 0, 0)</f>
        <v>99.9358</v>
      </c>
      <c r="E930" s="4">
        <f>648.422524633785 * CHOOSE(CONTROL!$C$6, $C$13, 100%, $E$13) + CHOOSE(CONTROL!$C$25, 0, 0)</f>
        <v>648.42252463378497</v>
      </c>
    </row>
    <row r="931" spans="1:5" ht="15">
      <c r="A931" s="13">
        <v>70219</v>
      </c>
      <c r="B931" s="4">
        <f>128.0403 * CHOOSE(CONTROL!$C$6, $C$13, 100%, $E$13) + CHOOSE(CONTROL!$C$25, 0.0003, 0)</f>
        <v>128.04060000000001</v>
      </c>
      <c r="C931" s="4">
        <f>127.7278 * CHOOSE(CONTROL!$C$6, $C$13, 100%, $E$13) + CHOOSE(CONTROL!$C$25, 0.0003, 0)</f>
        <v>127.7281</v>
      </c>
      <c r="D931" s="4">
        <f>105.1835 * CHOOSE(CONTROL!$C$6, $C$13, 100%, $E$13) + CHOOSE(CONTROL!$C$25, 0, 0)</f>
        <v>105.1835</v>
      </c>
      <c r="E931" s="4">
        <f>687.915791676475 * CHOOSE(CONTROL!$C$6, $C$13, 100%, $E$13) + CHOOSE(CONTROL!$C$25, 0, 0)</f>
        <v>687.91579167647501</v>
      </c>
    </row>
    <row r="932" spans="1:5" ht="15">
      <c r="A932" s="13">
        <v>70249</v>
      </c>
      <c r="B932" s="4">
        <f>133.1867 * CHOOSE(CONTROL!$C$6, $C$13, 100%, $E$13) + CHOOSE(CONTROL!$C$25, 0.0003, 0)</f>
        <v>133.18700000000001</v>
      </c>
      <c r="C932" s="4">
        <f>132.8742 * CHOOSE(CONTROL!$C$6, $C$13, 100%, $E$13) + CHOOSE(CONTROL!$C$25, 0.0003, 0)</f>
        <v>132.87450000000001</v>
      </c>
      <c r="D932" s="4">
        <f>108.2063 * CHOOSE(CONTROL!$C$6, $C$13, 100%, $E$13) + CHOOSE(CONTROL!$C$25, 0, 0)</f>
        <v>108.2063</v>
      </c>
      <c r="E932" s="4">
        <f>715.976284227291 * CHOOSE(CONTROL!$C$6, $C$13, 100%, $E$13) + CHOOSE(CONTROL!$C$25, 0, 0)</f>
        <v>715.97628422729099</v>
      </c>
    </row>
    <row r="933" spans="1:5" ht="15">
      <c r="A933" s="13">
        <v>70280</v>
      </c>
      <c r="B933" s="4">
        <f>136.331 * CHOOSE(CONTROL!$C$6, $C$13, 100%, $E$13) + CHOOSE(CONTROL!$C$25, 0.0238, 0)</f>
        <v>136.35479999999998</v>
      </c>
      <c r="C933" s="4">
        <f>136.0185 * CHOOSE(CONTROL!$C$6, $C$13, 100%, $E$13) + CHOOSE(CONTROL!$C$25, 0.0238, 0)</f>
        <v>136.04229999999998</v>
      </c>
      <c r="D933" s="4">
        <f>107.0118 * CHOOSE(CONTROL!$C$6, $C$13, 100%, $E$13) + CHOOSE(CONTROL!$C$25, 0, 0)</f>
        <v>107.01179999999999</v>
      </c>
      <c r="E933" s="4">
        <f>733.120572659693 * CHOOSE(CONTROL!$C$6, $C$13, 100%, $E$13) + CHOOSE(CONTROL!$C$25, 0, 0)</f>
        <v>733.12057265969304</v>
      </c>
    </row>
    <row r="934" spans="1:5" ht="15">
      <c r="A934" s="13">
        <v>70310</v>
      </c>
      <c r="B934" s="4">
        <f>136.7564 * CHOOSE(CONTROL!$C$6, $C$13, 100%, $E$13) + CHOOSE(CONTROL!$C$25, 0.0238, 0)</f>
        <v>136.78020000000001</v>
      </c>
      <c r="C934" s="4">
        <f>136.4439 * CHOOSE(CONTROL!$C$6, $C$13, 100%, $E$13) + CHOOSE(CONTROL!$C$25, 0.0238, 0)</f>
        <v>136.46770000000001</v>
      </c>
      <c r="D934" s="4">
        <f>107.9846 * CHOOSE(CONTROL!$C$6, $C$13, 100%, $E$13) + CHOOSE(CONTROL!$C$25, 0, 0)</f>
        <v>107.9846</v>
      </c>
      <c r="E934" s="4">
        <f>735.440266034856 * CHOOSE(CONTROL!$C$6, $C$13, 100%, $E$13) + CHOOSE(CONTROL!$C$25, 0, 0)</f>
        <v>735.44026603485599</v>
      </c>
    </row>
    <row r="935" spans="1:5" ht="15">
      <c r="A935" s="13">
        <v>70341</v>
      </c>
      <c r="B935" s="4">
        <f>136.7135 * CHOOSE(CONTROL!$C$6, $C$13, 100%, $E$13) + CHOOSE(CONTROL!$C$25, 0.0238, 0)</f>
        <v>136.7373</v>
      </c>
      <c r="C935" s="4">
        <f>136.401 * CHOOSE(CONTROL!$C$6, $C$13, 100%, $E$13) + CHOOSE(CONTROL!$C$25, 0.0238, 0)</f>
        <v>136.4248</v>
      </c>
      <c r="D935" s="4">
        <f>109.7399 * CHOOSE(CONTROL!$C$6, $C$13, 100%, $E$13) + CHOOSE(CONTROL!$C$25, 0, 0)</f>
        <v>109.73990000000001</v>
      </c>
      <c r="E935" s="4">
        <f>735.206347375175 * CHOOSE(CONTROL!$C$6, $C$13, 100%, $E$13) + CHOOSE(CONTROL!$C$25, 0, 0)</f>
        <v>735.20634737517503</v>
      </c>
    </row>
    <row r="936" spans="1:5" ht="15">
      <c r="A936" s="13">
        <v>70372</v>
      </c>
      <c r="B936" s="4">
        <f>139.9419 * CHOOSE(CONTROL!$C$6, $C$13, 100%, $E$13) + CHOOSE(CONTROL!$C$25, 0.0238, 0)</f>
        <v>139.9657</v>
      </c>
      <c r="C936" s="4">
        <f>139.6294 * CHOOSE(CONTROL!$C$6, $C$13, 100%, $E$13) + CHOOSE(CONTROL!$C$25, 0.0238, 0)</f>
        <v>139.6532</v>
      </c>
      <c r="D936" s="4">
        <f>108.5807 * CHOOSE(CONTROL!$C$6, $C$13, 100%, $E$13) + CHOOSE(CONTROL!$C$25, 0, 0)</f>
        <v>108.58069999999999</v>
      </c>
      <c r="E936" s="4">
        <f>752.808726516118 * CHOOSE(CONTROL!$C$6, $C$13, 100%, $E$13) + CHOOSE(CONTROL!$C$25, 0, 0)</f>
        <v>752.80872651611799</v>
      </c>
    </row>
    <row r="937" spans="1:5" ht="15">
      <c r="A937" s="13">
        <v>70402</v>
      </c>
      <c r="B937" s="4">
        <f>134.4398 * CHOOSE(CONTROL!$C$6, $C$13, 100%, $E$13) + CHOOSE(CONTROL!$C$25, 0.0238, 0)</f>
        <v>134.46359999999999</v>
      </c>
      <c r="C937" s="4">
        <f>134.1273 * CHOOSE(CONTROL!$C$6, $C$13, 100%, $E$13) + CHOOSE(CONTROL!$C$25, 0.0238, 0)</f>
        <v>134.15109999999999</v>
      </c>
      <c r="D937" s="4">
        <f>108.033 * CHOOSE(CONTROL!$C$6, $C$13, 100%, $E$13) + CHOOSE(CONTROL!$C$25, 0, 0)</f>
        <v>108.033</v>
      </c>
      <c r="E937" s="4">
        <f>722.80865841212 * CHOOSE(CONTROL!$C$6, $C$13, 100%, $E$13) + CHOOSE(CONTROL!$C$25, 0, 0)</f>
        <v>722.80865841212005</v>
      </c>
    </row>
    <row r="938" spans="1:5" ht="15">
      <c r="A938" s="13">
        <v>70433</v>
      </c>
      <c r="B938" s="4">
        <f>130.0352 * CHOOSE(CONTROL!$C$6, $C$13, 100%, $E$13) + CHOOSE(CONTROL!$C$25, 0.0003, 0)</f>
        <v>130.03550000000001</v>
      </c>
      <c r="C938" s="4">
        <f>129.7227 * CHOOSE(CONTROL!$C$6, $C$13, 100%, $E$13) + CHOOSE(CONTROL!$C$25, 0.0003, 0)</f>
        <v>129.72300000000001</v>
      </c>
      <c r="D938" s="4">
        <f>106.5666 * CHOOSE(CONTROL!$C$6, $C$13, 100%, $E$13) + CHOOSE(CONTROL!$C$25, 0, 0)</f>
        <v>106.56659999999999</v>
      </c>
      <c r="E938" s="4">
        <f>698.793009351609 * CHOOSE(CONTROL!$C$6, $C$13, 100%, $E$13) + CHOOSE(CONTROL!$C$25, 0, 0)</f>
        <v>698.79300935160904</v>
      </c>
    </row>
    <row r="939" spans="1:5" ht="15">
      <c r="A939" s="13">
        <v>70463</v>
      </c>
      <c r="B939" s="4">
        <f>127.1984 * CHOOSE(CONTROL!$C$6, $C$13, 100%, $E$13) + CHOOSE(CONTROL!$C$25, 0.0003, 0)</f>
        <v>127.1987</v>
      </c>
      <c r="C939" s="4">
        <f>126.8859 * CHOOSE(CONTROL!$C$6, $C$13, 100%, $E$13) + CHOOSE(CONTROL!$C$25, 0.0003, 0)</f>
        <v>126.8862</v>
      </c>
      <c r="D939" s="4">
        <f>106.0624 * CHOOSE(CONTROL!$C$6, $C$13, 100%, $E$13) + CHOOSE(CONTROL!$C$25, 0, 0)</f>
        <v>106.0624</v>
      </c>
      <c r="E939" s="4">
        <f>683.325137980249 * CHOOSE(CONTROL!$C$6, $C$13, 100%, $E$13) + CHOOSE(CONTROL!$C$25, 0, 0)</f>
        <v>683.325137980249</v>
      </c>
    </row>
    <row r="940" spans="1:5" ht="15">
      <c r="A940" s="13">
        <v>70494</v>
      </c>
      <c r="B940" s="4">
        <f>125.2357 * CHOOSE(CONTROL!$C$6, $C$13, 100%, $E$13) + CHOOSE(CONTROL!$C$25, 0.0003, 0)</f>
        <v>125.23599999999999</v>
      </c>
      <c r="C940" s="4">
        <f>124.9232 * CHOOSE(CONTROL!$C$6, $C$13, 100%, $E$13) + CHOOSE(CONTROL!$C$25, 0.0003, 0)</f>
        <v>124.92349999999999</v>
      </c>
      <c r="D940" s="4">
        <f>102.3506 * CHOOSE(CONTROL!$C$6, $C$13, 100%, $E$13) + CHOOSE(CONTROL!$C$25, 0, 0)</f>
        <v>102.3506</v>
      </c>
      <c r="E940" s="4">
        <f>672.623359299876 * CHOOSE(CONTROL!$C$6, $C$13, 100%, $E$13) + CHOOSE(CONTROL!$C$25, 0, 0)</f>
        <v>672.62335929987603</v>
      </c>
    </row>
    <row r="941" spans="1:5" ht="15">
      <c r="A941" s="13">
        <v>70525</v>
      </c>
      <c r="B941" s="4">
        <f>122.0467 * CHOOSE(CONTROL!$C$6, $C$13, 100%, $E$13) + CHOOSE(CONTROL!$C$25, 0.0003, 0)</f>
        <v>122.047</v>
      </c>
      <c r="C941" s="4">
        <f>121.7342 * CHOOSE(CONTROL!$C$6, $C$13, 100%, $E$13) + CHOOSE(CONTROL!$C$25, 0.0003, 0)</f>
        <v>121.7345</v>
      </c>
      <c r="D941" s="4">
        <f>98.9391 * CHOOSE(CONTROL!$C$6, $C$13, 100%, $E$13) + CHOOSE(CONTROL!$C$25, 0, 0)</f>
        <v>98.939099999999996</v>
      </c>
      <c r="E941" s="4">
        <f>653.335084518869 * CHOOSE(CONTROL!$C$6, $C$13, 100%, $E$13) + CHOOSE(CONTROL!$C$25, 0, 0)</f>
        <v>653.33508451886905</v>
      </c>
    </row>
    <row r="942" spans="1:5" ht="15">
      <c r="A942" s="13">
        <v>70553</v>
      </c>
      <c r="B942" s="4">
        <f>124.9 * CHOOSE(CONTROL!$C$6, $C$13, 100%, $E$13) + CHOOSE(CONTROL!$C$25, 0.0003, 0)</f>
        <v>124.9003</v>
      </c>
      <c r="C942" s="4">
        <f>124.5875 * CHOOSE(CONTROL!$C$6, $C$13, 100%, $E$13) + CHOOSE(CONTROL!$C$25, 0.0003, 0)</f>
        <v>124.5878</v>
      </c>
      <c r="D942" s="4">
        <f>102.3745 * CHOOSE(CONTROL!$C$6, $C$13, 100%, $E$13) + CHOOSE(CONTROL!$C$25, 0, 0)</f>
        <v>102.3745</v>
      </c>
      <c r="E942" s="4">
        <f>668.847834159749 * CHOOSE(CONTROL!$C$6, $C$13, 100%, $E$13) + CHOOSE(CONTROL!$C$25, 0, 0)</f>
        <v>668.84783415974903</v>
      </c>
    </row>
    <row r="943" spans="1:5" ht="15">
      <c r="A943" s="13">
        <v>70584</v>
      </c>
      <c r="B943" s="4">
        <f>132.393 * CHOOSE(CONTROL!$C$6, $C$13, 100%, $E$13) + CHOOSE(CONTROL!$C$25, 0.0003, 0)</f>
        <v>132.39330000000001</v>
      </c>
      <c r="C943" s="4">
        <f>132.0805 * CHOOSE(CONTROL!$C$6, $C$13, 100%, $E$13) + CHOOSE(CONTROL!$C$25, 0.0003, 0)</f>
        <v>132.08080000000001</v>
      </c>
      <c r="D943" s="4">
        <f>107.7523 * CHOOSE(CONTROL!$C$6, $C$13, 100%, $E$13) + CHOOSE(CONTROL!$C$25, 0, 0)</f>
        <v>107.75230000000001</v>
      </c>
      <c r="E943" s="4">
        <f>709.585139114284 * CHOOSE(CONTROL!$C$6, $C$13, 100%, $E$13) + CHOOSE(CONTROL!$C$25, 0, 0)</f>
        <v>709.58513911428395</v>
      </c>
    </row>
    <row r="944" spans="1:5" ht="15">
      <c r="A944" s="13">
        <v>70614</v>
      </c>
      <c r="B944" s="4">
        <f>137.717 * CHOOSE(CONTROL!$C$6, $C$13, 100%, $E$13) + CHOOSE(CONTROL!$C$25, 0.0003, 0)</f>
        <v>137.71730000000002</v>
      </c>
      <c r="C944" s="4">
        <f>137.4045 * CHOOSE(CONTROL!$C$6, $C$13, 100%, $E$13) + CHOOSE(CONTROL!$C$25, 0.0003, 0)</f>
        <v>137.40480000000002</v>
      </c>
      <c r="D944" s="4">
        <f>110.8501 * CHOOSE(CONTROL!$C$6, $C$13, 100%, $E$13) + CHOOSE(CONTROL!$C$25, 0, 0)</f>
        <v>110.8501</v>
      </c>
      <c r="E944" s="4">
        <f>738.529537180451 * CHOOSE(CONTROL!$C$6, $C$13, 100%, $E$13) + CHOOSE(CONTROL!$C$25, 0, 0)</f>
        <v>738.52953718045103</v>
      </c>
    </row>
    <row r="945" spans="1:5" ht="15">
      <c r="A945" s="13">
        <v>70645</v>
      </c>
      <c r="B945" s="4">
        <f>140.9697 * CHOOSE(CONTROL!$C$6, $C$13, 100%, $E$13) + CHOOSE(CONTROL!$C$25, 0.0238, 0)</f>
        <v>140.99349999999998</v>
      </c>
      <c r="C945" s="4">
        <f>140.6572 * CHOOSE(CONTROL!$C$6, $C$13, 100%, $E$13) + CHOOSE(CONTROL!$C$25, 0.0238, 0)</f>
        <v>140.68099999999998</v>
      </c>
      <c r="D945" s="4">
        <f>109.626 * CHOOSE(CONTROL!$C$6, $C$13, 100%, $E$13) + CHOOSE(CONTROL!$C$25, 0, 0)</f>
        <v>109.626</v>
      </c>
      <c r="E945" s="4">
        <f>756.213870698473 * CHOOSE(CONTROL!$C$6, $C$13, 100%, $E$13) + CHOOSE(CONTROL!$C$25, 0, 0)</f>
        <v>756.21387069847299</v>
      </c>
    </row>
    <row r="946" spans="1:5" ht="15">
      <c r="A946" s="13">
        <v>70675</v>
      </c>
      <c r="B946" s="4">
        <f>141.4099 * CHOOSE(CONTROL!$C$6, $C$13, 100%, $E$13) + CHOOSE(CONTROL!$C$25, 0.0238, 0)</f>
        <v>141.43369999999999</v>
      </c>
      <c r="C946" s="4">
        <f>141.0974 * CHOOSE(CONTROL!$C$6, $C$13, 100%, $E$13) + CHOOSE(CONTROL!$C$25, 0.0238, 0)</f>
        <v>141.12119999999999</v>
      </c>
      <c r="D946" s="4">
        <f>110.6229 * CHOOSE(CONTROL!$C$6, $C$13, 100%, $E$13) + CHOOSE(CONTROL!$C$25, 0, 0)</f>
        <v>110.6229</v>
      </c>
      <c r="E946" s="4">
        <f>758.606634414954 * CHOOSE(CONTROL!$C$6, $C$13, 100%, $E$13) + CHOOSE(CONTROL!$C$25, 0, 0)</f>
        <v>758.60663441495399</v>
      </c>
    </row>
    <row r="947" spans="1:5" ht="15">
      <c r="A947" s="13">
        <v>70706</v>
      </c>
      <c r="B947" s="4">
        <f>141.3655 * CHOOSE(CONTROL!$C$6, $C$13, 100%, $E$13) + CHOOSE(CONTROL!$C$25, 0.0238, 0)</f>
        <v>141.38929999999999</v>
      </c>
      <c r="C947" s="4">
        <f>141.053 * CHOOSE(CONTROL!$C$6, $C$13, 100%, $E$13) + CHOOSE(CONTROL!$C$25, 0.0238, 0)</f>
        <v>141.07679999999999</v>
      </c>
      <c r="D947" s="4">
        <f>112.4217 * CHOOSE(CONTROL!$C$6, $C$13, 100%, $E$13) + CHOOSE(CONTROL!$C$25, 0, 0)</f>
        <v>112.4217</v>
      </c>
      <c r="E947" s="4">
        <f>758.365347317494 * CHOOSE(CONTROL!$C$6, $C$13, 100%, $E$13) + CHOOSE(CONTROL!$C$25, 0, 0)</f>
        <v>758.36534731749396</v>
      </c>
    </row>
    <row r="948" spans="1:5" ht="15">
      <c r="A948" s="13">
        <v>70737</v>
      </c>
      <c r="B948" s="4">
        <f>144.7052 * CHOOSE(CONTROL!$C$6, $C$13, 100%, $E$13) + CHOOSE(CONTROL!$C$25, 0.0238, 0)</f>
        <v>144.72899999999998</v>
      </c>
      <c r="C948" s="4">
        <f>144.3927 * CHOOSE(CONTROL!$C$6, $C$13, 100%, $E$13) + CHOOSE(CONTROL!$C$25, 0.0238, 0)</f>
        <v>144.41649999999998</v>
      </c>
      <c r="D948" s="4">
        <f>111.2338 * CHOOSE(CONTROL!$C$6, $C$13, 100%, $E$13) + CHOOSE(CONTROL!$C$25, 0, 0)</f>
        <v>111.2338</v>
      </c>
      <c r="E948" s="4">
        <f>776.522201401375 * CHOOSE(CONTROL!$C$6, $C$13, 100%, $E$13) + CHOOSE(CONTROL!$C$25, 0, 0)</f>
        <v>776.52220140137501</v>
      </c>
    </row>
    <row r="949" spans="1:5" ht="15">
      <c r="A949" s="13">
        <v>70767</v>
      </c>
      <c r="B949" s="4">
        <f>139.0133 * CHOOSE(CONTROL!$C$6, $C$13, 100%, $E$13) + CHOOSE(CONTROL!$C$25, 0.0238, 0)</f>
        <v>139.03709999999998</v>
      </c>
      <c r="C949" s="4">
        <f>138.7008 * CHOOSE(CONTROL!$C$6, $C$13, 100%, $E$13) + CHOOSE(CONTROL!$C$25, 0.0238, 0)</f>
        <v>138.72459999999998</v>
      </c>
      <c r="D949" s="4">
        <f>110.6725 * CHOOSE(CONTROL!$C$6, $C$13, 100%, $E$13) + CHOOSE(CONTROL!$C$25, 0, 0)</f>
        <v>110.6725</v>
      </c>
      <c r="E949" s="4">
        <f>745.577131152102 * CHOOSE(CONTROL!$C$6, $C$13, 100%, $E$13) + CHOOSE(CONTROL!$C$25, 0, 0)</f>
        <v>745.57713115210197</v>
      </c>
    </row>
    <row r="950" spans="1:5" ht="15">
      <c r="A950" s="13">
        <v>70798</v>
      </c>
      <c r="B950" s="4">
        <f>134.4568 * CHOOSE(CONTROL!$C$6, $C$13, 100%, $E$13) + CHOOSE(CONTROL!$C$25, 0.0003, 0)</f>
        <v>134.4571</v>
      </c>
      <c r="C950" s="4">
        <f>134.1443 * CHOOSE(CONTROL!$C$6, $C$13, 100%, $E$13) + CHOOSE(CONTROL!$C$25, 0.0003, 0)</f>
        <v>134.1446</v>
      </c>
      <c r="D950" s="4">
        <f>109.1696 * CHOOSE(CONTROL!$C$6, $C$13, 100%, $E$13) + CHOOSE(CONTROL!$C$25, 0, 0)</f>
        <v>109.1696</v>
      </c>
      <c r="E950" s="4">
        <f>720.804989146185 * CHOOSE(CONTROL!$C$6, $C$13, 100%, $E$13) + CHOOSE(CONTROL!$C$25, 0, 0)</f>
        <v>720.80498914618499</v>
      </c>
    </row>
    <row r="951" spans="1:5" ht="15">
      <c r="A951" s="13">
        <v>70828</v>
      </c>
      <c r="B951" s="4">
        <f>131.5221 * CHOOSE(CONTROL!$C$6, $C$13, 100%, $E$13) + CHOOSE(CONTROL!$C$25, 0.0003, 0)</f>
        <v>131.5224</v>
      </c>
      <c r="C951" s="4">
        <f>131.2096 * CHOOSE(CONTROL!$C$6, $C$13, 100%, $E$13) + CHOOSE(CONTROL!$C$25, 0.0003, 0)</f>
        <v>131.2099</v>
      </c>
      <c r="D951" s="4">
        <f>108.653 * CHOOSE(CONTROL!$C$6, $C$13, 100%, $E$13) + CHOOSE(CONTROL!$C$25, 0, 0)</f>
        <v>108.65300000000001</v>
      </c>
      <c r="E951" s="4">
        <f>704.849879826627 * CHOOSE(CONTROL!$C$6, $C$13, 100%, $E$13) + CHOOSE(CONTROL!$C$25, 0, 0)</f>
        <v>704.84987982662699</v>
      </c>
    </row>
    <row r="952" spans="1:5" ht="15">
      <c r="A952" s="13">
        <v>70859</v>
      </c>
      <c r="B952" s="4">
        <f>129.4916 * CHOOSE(CONTROL!$C$6, $C$13, 100%, $E$13) + CHOOSE(CONTROL!$C$25, 0.0003, 0)</f>
        <v>129.49190000000002</v>
      </c>
      <c r="C952" s="4">
        <f>129.1791 * CHOOSE(CONTROL!$C$6, $C$13, 100%, $E$13) + CHOOSE(CONTROL!$C$25, 0.0003, 0)</f>
        <v>129.17940000000002</v>
      </c>
      <c r="D952" s="4">
        <f>104.8491 * CHOOSE(CONTROL!$C$6, $C$13, 100%, $E$13) + CHOOSE(CONTROL!$C$25, 0, 0)</f>
        <v>104.84910000000001</v>
      </c>
      <c r="E952" s="4">
        <f>693.810995117822 * CHOOSE(CONTROL!$C$6, $C$13, 100%, $E$13) + CHOOSE(CONTROL!$C$25, 0, 0)</f>
        <v>693.81099511782202</v>
      </c>
    </row>
    <row r="953" spans="1:5" ht="15">
      <c r="A953" s="13">
        <v>70890</v>
      </c>
      <c r="B953" s="4">
        <f>126.1926 * CHOOSE(CONTROL!$C$6, $C$13, 100%, $E$13) + CHOOSE(CONTROL!$C$25, 0.0003, 0)</f>
        <v>126.19289999999999</v>
      </c>
      <c r="C953" s="4">
        <f>125.8801 * CHOOSE(CONTROL!$C$6, $C$13, 100%, $E$13) + CHOOSE(CONTROL!$C$25, 0.0003, 0)</f>
        <v>125.88039999999999</v>
      </c>
      <c r="D953" s="4">
        <f>101.3531 * CHOOSE(CONTROL!$C$6, $C$13, 100%, $E$13) + CHOOSE(CONTROL!$C$25, 0, 0)</f>
        <v>101.3531</v>
      </c>
      <c r="E953" s="4">
        <f>673.915139681213 * CHOOSE(CONTROL!$C$6, $C$13, 100%, $E$13) + CHOOSE(CONTROL!$C$25, 0, 0)</f>
        <v>673.91513968121296</v>
      </c>
    </row>
    <row r="954" spans="1:5" ht="15">
      <c r="A954" s="13">
        <v>70918</v>
      </c>
      <c r="B954" s="4">
        <f>129.1444 * CHOOSE(CONTROL!$C$6, $C$13, 100%, $E$13) + CHOOSE(CONTROL!$C$25, 0.0003, 0)</f>
        <v>129.1447</v>
      </c>
      <c r="C954" s="4">
        <f>128.8319 * CHOOSE(CONTROL!$C$6, $C$13, 100%, $E$13) + CHOOSE(CONTROL!$C$25, 0.0003, 0)</f>
        <v>128.8322</v>
      </c>
      <c r="D954" s="4">
        <f>104.8736 * CHOOSE(CONTROL!$C$6, $C$13, 100%, $E$13) + CHOOSE(CONTROL!$C$25, 0, 0)</f>
        <v>104.8736</v>
      </c>
      <c r="E954" s="4">
        <f>689.916540935782 * CHOOSE(CONTROL!$C$6, $C$13, 100%, $E$13) + CHOOSE(CONTROL!$C$25, 0, 0)</f>
        <v>689.916540935782</v>
      </c>
    </row>
    <row r="955" spans="1:5" ht="15">
      <c r="A955" s="13">
        <v>70949</v>
      </c>
      <c r="B955" s="4">
        <f>136.8959 * CHOOSE(CONTROL!$C$6, $C$13, 100%, $E$13) + CHOOSE(CONTROL!$C$25, 0.0003, 0)</f>
        <v>136.89620000000002</v>
      </c>
      <c r="C955" s="4">
        <f>136.5834 * CHOOSE(CONTROL!$C$6, $C$13, 100%, $E$13) + CHOOSE(CONTROL!$C$25, 0.0003, 0)</f>
        <v>136.58370000000002</v>
      </c>
      <c r="D955" s="4">
        <f>110.3848 * CHOOSE(CONTROL!$C$6, $C$13, 100%, $E$13) + CHOOSE(CONTROL!$C$25, 0, 0)</f>
        <v>110.3848</v>
      </c>
      <c r="E955" s="4">
        <f>731.937070996384 * CHOOSE(CONTROL!$C$6, $C$13, 100%, $E$13) + CHOOSE(CONTROL!$C$25, 0, 0)</f>
        <v>731.93707099638402</v>
      </c>
    </row>
    <row r="956" spans="1:5" ht="15">
      <c r="A956" s="13">
        <v>70979</v>
      </c>
      <c r="B956" s="4">
        <f>142.4035 * CHOOSE(CONTROL!$C$6, $C$13, 100%, $E$13) + CHOOSE(CONTROL!$C$25, 0.0003, 0)</f>
        <v>142.40380000000002</v>
      </c>
      <c r="C956" s="4">
        <f>142.091 * CHOOSE(CONTROL!$C$6, $C$13, 100%, $E$13) + CHOOSE(CONTROL!$C$25, 0.0003, 0)</f>
        <v>142.09130000000002</v>
      </c>
      <c r="D956" s="4">
        <f>113.5594 * CHOOSE(CONTROL!$C$6, $C$13, 100%, $E$13) + CHOOSE(CONTROL!$C$25, 0, 0)</f>
        <v>113.5594</v>
      </c>
      <c r="E956" s="4">
        <f>761.793217601635 * CHOOSE(CONTROL!$C$6, $C$13, 100%, $E$13) + CHOOSE(CONTROL!$C$25, 0, 0)</f>
        <v>761.79321760163498</v>
      </c>
    </row>
    <row r="957" spans="1:5" ht="15">
      <c r="A957" s="13">
        <v>71010</v>
      </c>
      <c r="B957" s="4">
        <f>145.7685 * CHOOSE(CONTROL!$C$6, $C$13, 100%, $E$13) + CHOOSE(CONTROL!$C$25, 0.0238, 0)</f>
        <v>145.79229999999998</v>
      </c>
      <c r="C957" s="4">
        <f>145.456 * CHOOSE(CONTROL!$C$6, $C$13, 100%, $E$13) + CHOOSE(CONTROL!$C$25, 0.0238, 0)</f>
        <v>145.47979999999998</v>
      </c>
      <c r="D957" s="4">
        <f>112.3049 * CHOOSE(CONTROL!$C$6, $C$13, 100%, $E$13) + CHOOSE(CONTROL!$C$25, 0, 0)</f>
        <v>112.3049</v>
      </c>
      <c r="E957" s="4">
        <f>780.034607625475 * CHOOSE(CONTROL!$C$6, $C$13, 100%, $E$13) + CHOOSE(CONTROL!$C$25, 0, 0)</f>
        <v>780.03460762547502</v>
      </c>
    </row>
    <row r="958" spans="1:5" ht="15">
      <c r="A958" s="13">
        <v>71040</v>
      </c>
      <c r="B958" s="4">
        <f>146.2238 * CHOOSE(CONTROL!$C$6, $C$13, 100%, $E$13) + CHOOSE(CONTROL!$C$25, 0.0238, 0)</f>
        <v>146.24760000000001</v>
      </c>
      <c r="C958" s="4">
        <f>145.9113 * CHOOSE(CONTROL!$C$6, $C$13, 100%, $E$13) + CHOOSE(CONTROL!$C$25, 0.0238, 0)</f>
        <v>145.93510000000001</v>
      </c>
      <c r="D958" s="4">
        <f>113.3266 * CHOOSE(CONTROL!$C$6, $C$13, 100%, $E$13) + CHOOSE(CONTROL!$C$25, 0, 0)</f>
        <v>113.3266</v>
      </c>
      <c r="E958" s="4">
        <f>782.502743399025 * CHOOSE(CONTROL!$C$6, $C$13, 100%, $E$13) + CHOOSE(CONTROL!$C$25, 0, 0)</f>
        <v>782.50274339902501</v>
      </c>
    </row>
    <row r="959" spans="1:5" ht="15">
      <c r="A959" s="13">
        <v>71071</v>
      </c>
      <c r="B959" s="4">
        <f>146.1779 * CHOOSE(CONTROL!$C$6, $C$13, 100%, $E$13) + CHOOSE(CONTROL!$C$25, 0.0238, 0)</f>
        <v>146.20169999999999</v>
      </c>
      <c r="C959" s="4">
        <f>145.8654 * CHOOSE(CONTROL!$C$6, $C$13, 100%, $E$13) + CHOOSE(CONTROL!$C$25, 0.0238, 0)</f>
        <v>145.88919999999999</v>
      </c>
      <c r="D959" s="4">
        <f>115.17 * CHOOSE(CONTROL!$C$6, $C$13, 100%, $E$13) + CHOOSE(CONTROL!$C$25, 0, 0)</f>
        <v>115.17</v>
      </c>
      <c r="E959" s="4">
        <f>782.253855757995 * CHOOSE(CONTROL!$C$6, $C$13, 100%, $E$13) + CHOOSE(CONTROL!$C$25, 0, 0)</f>
        <v>782.25385575799498</v>
      </c>
    </row>
    <row r="960" spans="1:5" ht="15">
      <c r="A960" s="13">
        <v>71102</v>
      </c>
      <c r="B960" s="4">
        <f>149.6328 * CHOOSE(CONTROL!$C$6, $C$13, 100%, $E$13) + CHOOSE(CONTROL!$C$25, 0.0238, 0)</f>
        <v>149.6566</v>
      </c>
      <c r="C960" s="4">
        <f>149.3203 * CHOOSE(CONTROL!$C$6, $C$13, 100%, $E$13) + CHOOSE(CONTROL!$C$25, 0.0238, 0)</f>
        <v>149.3441</v>
      </c>
      <c r="D960" s="4">
        <f>113.9526 * CHOOSE(CONTROL!$C$6, $C$13, 100%, $E$13) + CHOOSE(CONTROL!$C$25, 0, 0)</f>
        <v>113.9526</v>
      </c>
      <c r="E960" s="4">
        <f>800.982650745519 * CHOOSE(CONTROL!$C$6, $C$13, 100%, $E$13) + CHOOSE(CONTROL!$C$25, 0, 0)</f>
        <v>800.98265074551898</v>
      </c>
    </row>
    <row r="961" spans="1:5" ht="15">
      <c r="A961" s="13">
        <v>71132</v>
      </c>
      <c r="B961" s="4">
        <f>143.7445 * CHOOSE(CONTROL!$C$6, $C$13, 100%, $E$13) + CHOOSE(CONTROL!$C$25, 0.0238, 0)</f>
        <v>143.76829999999998</v>
      </c>
      <c r="C961" s="4">
        <f>143.432 * CHOOSE(CONTROL!$C$6, $C$13, 100%, $E$13) + CHOOSE(CONTROL!$C$25, 0.0238, 0)</f>
        <v>143.45579999999998</v>
      </c>
      <c r="D961" s="4">
        <f>113.3774 * CHOOSE(CONTROL!$C$6, $C$13, 100%, $E$13) + CHOOSE(CONTROL!$C$25, 0, 0)</f>
        <v>113.37739999999999</v>
      </c>
      <c r="E961" s="4">
        <f>769.062810783393 * CHOOSE(CONTROL!$C$6, $C$13, 100%, $E$13) + CHOOSE(CONTROL!$C$25, 0, 0)</f>
        <v>769.06281078339305</v>
      </c>
    </row>
    <row r="962" spans="1:5" ht="15">
      <c r="A962" s="13">
        <v>71163</v>
      </c>
      <c r="B962" s="4">
        <f>139.0308 * CHOOSE(CONTROL!$C$6, $C$13, 100%, $E$13) + CHOOSE(CONTROL!$C$25, 0.0003, 0)</f>
        <v>139.03110000000001</v>
      </c>
      <c r="C962" s="4">
        <f>138.7183 * CHOOSE(CONTROL!$C$6, $C$13, 100%, $E$13) + CHOOSE(CONTROL!$C$25, 0.0003, 0)</f>
        <v>138.71860000000001</v>
      </c>
      <c r="D962" s="4">
        <f>111.8373 * CHOOSE(CONTROL!$C$6, $C$13, 100%, $E$13) + CHOOSE(CONTROL!$C$25, 0, 0)</f>
        <v>111.8373</v>
      </c>
      <c r="E962" s="4">
        <f>743.51034630429 * CHOOSE(CONTROL!$C$6, $C$13, 100%, $E$13) + CHOOSE(CONTROL!$C$25, 0, 0)</f>
        <v>743.51034630429001</v>
      </c>
    </row>
    <row r="963" spans="1:5" ht="15">
      <c r="A963" s="13">
        <v>71193</v>
      </c>
      <c r="B963" s="4">
        <f>135.9949 * CHOOSE(CONTROL!$C$6, $C$13, 100%, $E$13) + CHOOSE(CONTROL!$C$25, 0.0003, 0)</f>
        <v>135.99520000000001</v>
      </c>
      <c r="C963" s="4">
        <f>135.6824 * CHOOSE(CONTROL!$C$6, $C$13, 100%, $E$13) + CHOOSE(CONTROL!$C$25, 0.0003, 0)</f>
        <v>135.68270000000001</v>
      </c>
      <c r="D963" s="4">
        <f>111.3078 * CHOOSE(CONTROL!$C$6, $C$13, 100%, $E$13) + CHOOSE(CONTROL!$C$25, 0, 0)</f>
        <v>111.3078</v>
      </c>
      <c r="E963" s="4">
        <f>727.052651041166 * CHOOSE(CONTROL!$C$6, $C$13, 100%, $E$13) + CHOOSE(CONTROL!$C$25, 0, 0)</f>
        <v>727.05265104116597</v>
      </c>
    </row>
    <row r="964" spans="1:5" ht="15">
      <c r="A964" s="13">
        <v>71224</v>
      </c>
      <c r="B964" s="4">
        <f>133.8944 * CHOOSE(CONTROL!$C$6, $C$13, 100%, $E$13) + CHOOSE(CONTROL!$C$25, 0.0003, 0)</f>
        <v>133.8947</v>
      </c>
      <c r="C964" s="4">
        <f>133.5819 * CHOOSE(CONTROL!$C$6, $C$13, 100%, $E$13) + CHOOSE(CONTROL!$C$25, 0.0003, 0)</f>
        <v>133.5822</v>
      </c>
      <c r="D964" s="4">
        <f>107.4096 * CHOOSE(CONTROL!$C$6, $C$13, 100%, $E$13) + CHOOSE(CONTROL!$C$25, 0, 0)</f>
        <v>107.4096</v>
      </c>
      <c r="E964" s="4">
        <f>715.666041464033 * CHOOSE(CONTROL!$C$6, $C$13, 100%, $E$13) + CHOOSE(CONTROL!$C$25, 0, 0)</f>
        <v>715.66604146403301</v>
      </c>
    </row>
    <row r="965" spans="1:5" ht="15">
      <c r="A965" s="13">
        <v>71255</v>
      </c>
      <c r="B965" s="4">
        <f>130.4815 * CHOOSE(CONTROL!$C$6, $C$13, 100%, $E$13) + CHOOSE(CONTROL!$C$25, 0.0003, 0)</f>
        <v>130.48180000000002</v>
      </c>
      <c r="C965" s="4">
        <f>130.169 * CHOOSE(CONTROL!$C$6, $C$13, 100%, $E$13) + CHOOSE(CONTROL!$C$25, 0.0003, 0)</f>
        <v>130.16930000000002</v>
      </c>
      <c r="D965" s="4">
        <f>103.8269 * CHOOSE(CONTROL!$C$6, $C$13, 100%, $E$13) + CHOOSE(CONTROL!$C$25, 0, 0)</f>
        <v>103.82689999999999</v>
      </c>
      <c r="E965" s="4">
        <f>695.143466581171 * CHOOSE(CONTROL!$C$6, $C$13, 100%, $E$13) + CHOOSE(CONTROL!$C$25, 0, 0)</f>
        <v>695.14346658117097</v>
      </c>
    </row>
    <row r="966" spans="1:5" ht="15">
      <c r="A966" s="13">
        <v>71283</v>
      </c>
      <c r="B966" s="4">
        <f>133.5352 * CHOOSE(CONTROL!$C$6, $C$13, 100%, $E$13) + CHOOSE(CONTROL!$C$25, 0.0003, 0)</f>
        <v>133.53550000000001</v>
      </c>
      <c r="C966" s="4">
        <f>133.2227 * CHOOSE(CONTROL!$C$6, $C$13, 100%, $E$13) + CHOOSE(CONTROL!$C$25, 0.0003, 0)</f>
        <v>133.22300000000001</v>
      </c>
      <c r="D966" s="4">
        <f>107.4347 * CHOOSE(CONTROL!$C$6, $C$13, 100%, $E$13) + CHOOSE(CONTROL!$C$25, 0, 0)</f>
        <v>107.43470000000001</v>
      </c>
      <c r="E966" s="4">
        <f>711.648911975259 * CHOOSE(CONTROL!$C$6, $C$13, 100%, $E$13) + CHOOSE(CONTROL!$C$25, 0, 0)</f>
        <v>711.64891197525901</v>
      </c>
    </row>
    <row r="967" spans="1:5" ht="15">
      <c r="A967" s="13">
        <v>71314</v>
      </c>
      <c r="B967" s="4">
        <f>141.5541 * CHOOSE(CONTROL!$C$6, $C$13, 100%, $E$13) + CHOOSE(CONTROL!$C$25, 0.0003, 0)</f>
        <v>141.55440000000002</v>
      </c>
      <c r="C967" s="4">
        <f>141.2416 * CHOOSE(CONTROL!$C$6, $C$13, 100%, $E$13) + CHOOSE(CONTROL!$C$25, 0.0003, 0)</f>
        <v>141.24190000000002</v>
      </c>
      <c r="D967" s="4">
        <f>113.0826 * CHOOSE(CONTROL!$C$6, $C$13, 100%, $E$13) + CHOOSE(CONTROL!$C$25, 0, 0)</f>
        <v>113.0826</v>
      </c>
      <c r="E967" s="4">
        <f>754.99308873277 * CHOOSE(CONTROL!$C$6, $C$13, 100%, $E$13) + CHOOSE(CONTROL!$C$25, 0, 0)</f>
        <v>754.99308873277005</v>
      </c>
    </row>
    <row r="968" spans="1:5" ht="15">
      <c r="A968" s="13">
        <v>71344</v>
      </c>
      <c r="B968" s="4">
        <f>147.2517 * CHOOSE(CONTROL!$C$6, $C$13, 100%, $E$13) + CHOOSE(CONTROL!$C$25, 0.0003, 0)</f>
        <v>147.25200000000001</v>
      </c>
      <c r="C968" s="4">
        <f>146.9392 * CHOOSE(CONTROL!$C$6, $C$13, 100%, $E$13) + CHOOSE(CONTROL!$C$25, 0.0003, 0)</f>
        <v>146.93950000000001</v>
      </c>
      <c r="D968" s="4">
        <f>116.3359 * CHOOSE(CONTROL!$C$6, $C$13, 100%, $E$13) + CHOOSE(CONTROL!$C$25, 0, 0)</f>
        <v>116.3359</v>
      </c>
      <c r="E968" s="4">
        <f>785.789703956087 * CHOOSE(CONTROL!$C$6, $C$13, 100%, $E$13) + CHOOSE(CONTROL!$C$25, 0, 0)</f>
        <v>785.78970395608701</v>
      </c>
    </row>
    <row r="969" spans="1:5" ht="15">
      <c r="A969" s="13">
        <v>71375</v>
      </c>
      <c r="B969" s="4">
        <f>150.7328 * CHOOSE(CONTROL!$C$6, $C$13, 100%, $E$13) + CHOOSE(CONTROL!$C$25, 0.0238, 0)</f>
        <v>150.75659999999999</v>
      </c>
      <c r="C969" s="4">
        <f>150.4203 * CHOOSE(CONTROL!$C$6, $C$13, 100%, $E$13) + CHOOSE(CONTROL!$C$25, 0.0238, 0)</f>
        <v>150.44409999999999</v>
      </c>
      <c r="D969" s="4">
        <f>115.0503 * CHOOSE(CONTROL!$C$6, $C$13, 100%, $E$13) + CHOOSE(CONTROL!$C$25, 0, 0)</f>
        <v>115.05029999999999</v>
      </c>
      <c r="E969" s="4">
        <f>804.605697765678 * CHOOSE(CONTROL!$C$6, $C$13, 100%, $E$13) + CHOOSE(CONTROL!$C$25, 0, 0)</f>
        <v>804.60569776567797</v>
      </c>
    </row>
    <row r="970" spans="1:5" ht="15">
      <c r="A970" s="13">
        <v>71405</v>
      </c>
      <c r="B970" s="4">
        <f>151.2038 * CHOOSE(CONTROL!$C$6, $C$13, 100%, $E$13) + CHOOSE(CONTROL!$C$25, 0.0238, 0)</f>
        <v>151.2276</v>
      </c>
      <c r="C970" s="4">
        <f>150.8913 * CHOOSE(CONTROL!$C$6, $C$13, 100%, $E$13) + CHOOSE(CONTROL!$C$25, 0.0238, 0)</f>
        <v>150.9151</v>
      </c>
      <c r="D970" s="4">
        <f>116.0973 * CHOOSE(CONTROL!$C$6, $C$13, 100%, $E$13) + CHOOSE(CONTROL!$C$25, 0, 0)</f>
        <v>116.0973</v>
      </c>
      <c r="E970" s="4">
        <f>807.151579816094 * CHOOSE(CONTROL!$C$6, $C$13, 100%, $E$13) + CHOOSE(CONTROL!$C$25, 0, 0)</f>
        <v>807.151579816094</v>
      </c>
    </row>
    <row r="971" spans="1:5" ht="15">
      <c r="A971" s="13">
        <v>71436</v>
      </c>
      <c r="B971" s="4">
        <f>151.1563 * CHOOSE(CONTROL!$C$6, $C$13, 100%, $E$13) + CHOOSE(CONTROL!$C$25, 0.0238, 0)</f>
        <v>151.18009999999998</v>
      </c>
      <c r="C971" s="4">
        <f>150.8438 * CHOOSE(CONTROL!$C$6, $C$13, 100%, $E$13) + CHOOSE(CONTROL!$C$25, 0.0238, 0)</f>
        <v>150.86759999999998</v>
      </c>
      <c r="D971" s="4">
        <f>117.9865 * CHOOSE(CONTROL!$C$6, $C$13, 100%, $E$13) + CHOOSE(CONTROL!$C$25, 0, 0)</f>
        <v>117.98650000000001</v>
      </c>
      <c r="E971" s="4">
        <f>806.894852214372 * CHOOSE(CONTROL!$C$6, $C$13, 100%, $E$13) + CHOOSE(CONTROL!$C$25, 0, 0)</f>
        <v>806.89485221437201</v>
      </c>
    </row>
    <row r="972" spans="1:5" ht="15">
      <c r="A972" s="13">
        <v>71467</v>
      </c>
      <c r="B972" s="4">
        <f>154.7304 * CHOOSE(CONTROL!$C$6, $C$13, 100%, $E$13) + CHOOSE(CONTROL!$C$25, 0.0238, 0)</f>
        <v>154.7542</v>
      </c>
      <c r="C972" s="4">
        <f>154.4179 * CHOOSE(CONTROL!$C$6, $C$13, 100%, $E$13) + CHOOSE(CONTROL!$C$25, 0.0238, 0)</f>
        <v>154.4417</v>
      </c>
      <c r="D972" s="4">
        <f>116.7389 * CHOOSE(CONTROL!$C$6, $C$13, 100%, $E$13) + CHOOSE(CONTROL!$C$25, 0, 0)</f>
        <v>116.7389</v>
      </c>
      <c r="E972" s="4">
        <f>826.213604244003 * CHOOSE(CONTROL!$C$6, $C$13, 100%, $E$13) + CHOOSE(CONTROL!$C$25, 0, 0)</f>
        <v>826.21360424400302</v>
      </c>
    </row>
    <row r="973" spans="1:5" ht="15">
      <c r="A973" s="13">
        <v>71497</v>
      </c>
      <c r="B973" s="4">
        <f>148.639 * CHOOSE(CONTROL!$C$6, $C$13, 100%, $E$13) + CHOOSE(CONTROL!$C$25, 0.0238, 0)</f>
        <v>148.6628</v>
      </c>
      <c r="C973" s="4">
        <f>148.3265 * CHOOSE(CONTROL!$C$6, $C$13, 100%, $E$13) + CHOOSE(CONTROL!$C$25, 0.0238, 0)</f>
        <v>148.3503</v>
      </c>
      <c r="D973" s="4">
        <f>116.1494 * CHOOSE(CONTROL!$C$6, $C$13, 100%, $E$13) + CHOOSE(CONTROL!$C$25, 0, 0)</f>
        <v>116.1494</v>
      </c>
      <c r="E973" s="4">
        <f>793.28828932307 * CHOOSE(CONTROL!$C$6, $C$13, 100%, $E$13) + CHOOSE(CONTROL!$C$25, 0, 0)</f>
        <v>793.28828932306999</v>
      </c>
    </row>
    <row r="974" spans="1:5" ht="15">
      <c r="A974" s="13">
        <v>71528</v>
      </c>
      <c r="B974" s="4">
        <f>143.7627 * CHOOSE(CONTROL!$C$6, $C$13, 100%, $E$13) + CHOOSE(CONTROL!$C$25, 0.0003, 0)</f>
        <v>143.76300000000001</v>
      </c>
      <c r="C974" s="4">
        <f>143.4502 * CHOOSE(CONTROL!$C$6, $C$13, 100%, $E$13) + CHOOSE(CONTROL!$C$25, 0.0003, 0)</f>
        <v>143.45050000000001</v>
      </c>
      <c r="D974" s="4">
        <f>114.5711 * CHOOSE(CONTROL!$C$6, $C$13, 100%, $E$13) + CHOOSE(CONTROL!$C$25, 0, 0)</f>
        <v>114.5711</v>
      </c>
      <c r="E974" s="4">
        <f>766.930922212875 * CHOOSE(CONTROL!$C$6, $C$13, 100%, $E$13) + CHOOSE(CONTROL!$C$25, 0, 0)</f>
        <v>766.93092221287498</v>
      </c>
    </row>
    <row r="975" spans="1:5" ht="15">
      <c r="A975" s="13">
        <v>71558</v>
      </c>
      <c r="B975" s="4">
        <f>140.622 * CHOOSE(CONTROL!$C$6, $C$13, 100%, $E$13) + CHOOSE(CONTROL!$C$25, 0.0003, 0)</f>
        <v>140.62230000000002</v>
      </c>
      <c r="C975" s="4">
        <f>140.3095 * CHOOSE(CONTROL!$C$6, $C$13, 100%, $E$13) + CHOOSE(CONTROL!$C$25, 0.0003, 0)</f>
        <v>140.30980000000002</v>
      </c>
      <c r="D975" s="4">
        <f>114.0285 * CHOOSE(CONTROL!$C$6, $C$13, 100%, $E$13) + CHOOSE(CONTROL!$C$25, 0, 0)</f>
        <v>114.02849999999999</v>
      </c>
      <c r="E975" s="4">
        <f>749.954809548963 * CHOOSE(CONTROL!$C$6, $C$13, 100%, $E$13) + CHOOSE(CONTROL!$C$25, 0, 0)</f>
        <v>749.954809548963</v>
      </c>
    </row>
    <row r="976" spans="1:5" ht="15">
      <c r="A976" s="13">
        <v>71589</v>
      </c>
      <c r="B976" s="4">
        <f>138.4491 * CHOOSE(CONTROL!$C$6, $C$13, 100%, $E$13) + CHOOSE(CONTROL!$C$25, 0.0003, 0)</f>
        <v>138.4494</v>
      </c>
      <c r="C976" s="4">
        <f>138.1366 * CHOOSE(CONTROL!$C$6, $C$13, 100%, $E$13) + CHOOSE(CONTROL!$C$25, 0.0003, 0)</f>
        <v>138.1369</v>
      </c>
      <c r="D976" s="4">
        <f>110.0336 * CHOOSE(CONTROL!$C$6, $C$13, 100%, $E$13) + CHOOSE(CONTROL!$C$25, 0, 0)</f>
        <v>110.03360000000001</v>
      </c>
      <c r="E976" s="4">
        <f>738.209521770151 * CHOOSE(CONTROL!$C$6, $C$13, 100%, $E$13) + CHOOSE(CONTROL!$C$25, 0, 0)</f>
        <v>738.20952177015101</v>
      </c>
    </row>
    <row r="977" spans="1:5" ht="15">
      <c r="A977" s="13">
        <v>71620</v>
      </c>
      <c r="B977" s="4">
        <f>134.9185 * CHOOSE(CONTROL!$C$6, $C$13, 100%, $E$13) + CHOOSE(CONTROL!$C$25, 0.0003, 0)</f>
        <v>134.9188</v>
      </c>
      <c r="C977" s="4">
        <f>134.606 * CHOOSE(CONTROL!$C$6, $C$13, 100%, $E$13) + CHOOSE(CONTROL!$C$25, 0.0003, 0)</f>
        <v>134.6063</v>
      </c>
      <c r="D977" s="4">
        <f>106.362 * CHOOSE(CONTROL!$C$6, $C$13, 100%, $E$13) + CHOOSE(CONTROL!$C$25, 0, 0)</f>
        <v>106.36199999999999</v>
      </c>
      <c r="E977" s="4">
        <f>717.040485778478 * CHOOSE(CONTROL!$C$6, $C$13, 100%, $E$13) + CHOOSE(CONTROL!$C$25, 0, 0)</f>
        <v>717.040485778478</v>
      </c>
    </row>
    <row r="978" spans="1:5" ht="15">
      <c r="A978" s="13">
        <v>71649</v>
      </c>
      <c r="B978" s="4">
        <f>138.0774 * CHOOSE(CONTROL!$C$6, $C$13, 100%, $E$13) + CHOOSE(CONTROL!$C$25, 0.0003, 0)</f>
        <v>138.07770000000002</v>
      </c>
      <c r="C978" s="4">
        <f>137.7649 * CHOOSE(CONTROL!$C$6, $C$13, 100%, $E$13) + CHOOSE(CONTROL!$C$25, 0.0003, 0)</f>
        <v>137.76520000000002</v>
      </c>
      <c r="D978" s="4">
        <f>110.0593 * CHOOSE(CONTROL!$C$6, $C$13, 100%, $E$13) + CHOOSE(CONTROL!$C$25, 0, 0)</f>
        <v>110.05929999999999</v>
      </c>
      <c r="E978" s="4">
        <f>734.065852702479 * CHOOSE(CONTROL!$C$6, $C$13, 100%, $E$13) + CHOOSE(CONTROL!$C$25, 0, 0)</f>
        <v>734.06585270247899</v>
      </c>
    </row>
    <row r="979" spans="1:5" ht="15">
      <c r="A979" s="13">
        <v>71680</v>
      </c>
      <c r="B979" s="4">
        <f>146.3731 * CHOOSE(CONTROL!$C$6, $C$13, 100%, $E$13) + CHOOSE(CONTROL!$C$25, 0.0003, 0)</f>
        <v>146.3734</v>
      </c>
      <c r="C979" s="4">
        <f>146.0606 * CHOOSE(CONTROL!$C$6, $C$13, 100%, $E$13) + CHOOSE(CONTROL!$C$25, 0.0003, 0)</f>
        <v>146.0609</v>
      </c>
      <c r="D979" s="4">
        <f>115.8473 * CHOOSE(CONTROL!$C$6, $C$13, 100%, $E$13) + CHOOSE(CONTROL!$C$25, 0, 0)</f>
        <v>115.8473</v>
      </c>
      <c r="E979" s="4">
        <f>778.775371027853 * CHOOSE(CONTROL!$C$6, $C$13, 100%, $E$13) + CHOOSE(CONTROL!$C$25, 0, 0)</f>
        <v>778.775371027853</v>
      </c>
    </row>
    <row r="980" spans="1:5" ht="15">
      <c r="A980" s="13">
        <v>71710</v>
      </c>
      <c r="B980" s="4">
        <f>152.2672 * CHOOSE(CONTROL!$C$6, $C$13, 100%, $E$13) + CHOOSE(CONTROL!$C$25, 0.0003, 0)</f>
        <v>152.26750000000001</v>
      </c>
      <c r="C980" s="4">
        <f>151.9547 * CHOOSE(CONTROL!$C$6, $C$13, 100%, $E$13) + CHOOSE(CONTROL!$C$25, 0.0003, 0)</f>
        <v>151.95500000000001</v>
      </c>
      <c r="D980" s="4">
        <f>119.1813 * CHOOSE(CONTROL!$C$6, $C$13, 100%, $E$13) + CHOOSE(CONTROL!$C$25, 0, 0)</f>
        <v>119.18129999999999</v>
      </c>
      <c r="E980" s="4">
        <f>810.542079630703 * CHOOSE(CONTROL!$C$6, $C$13, 100%, $E$13) + CHOOSE(CONTROL!$C$25, 0, 0)</f>
        <v>810.54207963070303</v>
      </c>
    </row>
    <row r="981" spans="1:5" ht="15">
      <c r="A981" s="13">
        <v>71741</v>
      </c>
      <c r="B981" s="4">
        <f>155.8684 * CHOOSE(CONTROL!$C$6, $C$13, 100%, $E$13) + CHOOSE(CONTROL!$C$25, 0.0238, 0)</f>
        <v>155.8922</v>
      </c>
      <c r="C981" s="4">
        <f>155.5559 * CHOOSE(CONTROL!$C$6, $C$13, 100%, $E$13) + CHOOSE(CONTROL!$C$25, 0.0238, 0)</f>
        <v>155.5797</v>
      </c>
      <c r="D981" s="4">
        <f>117.8638 * CHOOSE(CONTROL!$C$6, $C$13, 100%, $E$13) + CHOOSE(CONTROL!$C$25, 0, 0)</f>
        <v>117.8638</v>
      </c>
      <c r="E981" s="4">
        <f>829.950777245297 * CHOOSE(CONTROL!$C$6, $C$13, 100%, $E$13) + CHOOSE(CONTROL!$C$25, 0, 0)</f>
        <v>829.95077724529699</v>
      </c>
    </row>
    <row r="982" spans="1:5" ht="15">
      <c r="A982" s="13">
        <v>71771</v>
      </c>
      <c r="B982" s="4">
        <f>156.3557 * CHOOSE(CONTROL!$C$6, $C$13, 100%, $E$13) + CHOOSE(CONTROL!$C$25, 0.0238, 0)</f>
        <v>156.37950000000001</v>
      </c>
      <c r="C982" s="4">
        <f>156.0432 * CHOOSE(CONTROL!$C$6, $C$13, 100%, $E$13) + CHOOSE(CONTROL!$C$25, 0.0238, 0)</f>
        <v>156.06700000000001</v>
      </c>
      <c r="D982" s="4">
        <f>118.9368 * CHOOSE(CONTROL!$C$6, $C$13, 100%, $E$13) + CHOOSE(CONTROL!$C$25, 0, 0)</f>
        <v>118.93680000000001</v>
      </c>
      <c r="E982" s="4">
        <f>832.576854580301 * CHOOSE(CONTROL!$C$6, $C$13, 100%, $E$13) + CHOOSE(CONTROL!$C$25, 0, 0)</f>
        <v>832.57685458030096</v>
      </c>
    </row>
    <row r="983" spans="1:5" ht="15">
      <c r="A983" s="13">
        <v>71802</v>
      </c>
      <c r="B983" s="4">
        <f>156.3065 * CHOOSE(CONTROL!$C$6, $C$13, 100%, $E$13) + CHOOSE(CONTROL!$C$25, 0.0238, 0)</f>
        <v>156.33029999999999</v>
      </c>
      <c r="C983" s="4">
        <f>155.994 * CHOOSE(CONTROL!$C$6, $C$13, 100%, $E$13) + CHOOSE(CONTROL!$C$25, 0.0238, 0)</f>
        <v>156.01779999999999</v>
      </c>
      <c r="D983" s="4">
        <f>120.8728 * CHOOSE(CONTROL!$C$6, $C$13, 100%, $E$13) + CHOOSE(CONTROL!$C$25, 0, 0)</f>
        <v>120.8728</v>
      </c>
      <c r="E983" s="4">
        <f>832.312040059124 * CHOOSE(CONTROL!$C$6, $C$13, 100%, $E$13) + CHOOSE(CONTROL!$C$25, 0, 0)</f>
        <v>832.312040059124</v>
      </c>
    </row>
    <row r="984" spans="1:5" ht="15">
      <c r="A984" s="13">
        <v>71833</v>
      </c>
      <c r="B984" s="4">
        <f>160.004 * CHOOSE(CONTROL!$C$6, $C$13, 100%, $E$13) + CHOOSE(CONTROL!$C$25, 0.0238, 0)</f>
        <v>160.02779999999998</v>
      </c>
      <c r="C984" s="4">
        <f>159.6915 * CHOOSE(CONTROL!$C$6, $C$13, 100%, $E$13) + CHOOSE(CONTROL!$C$25, 0.0238, 0)</f>
        <v>159.71529999999998</v>
      </c>
      <c r="D984" s="4">
        <f>119.5942 * CHOOSE(CONTROL!$C$6, $C$13, 100%, $E$13) + CHOOSE(CONTROL!$C$25, 0, 0)</f>
        <v>119.5942</v>
      </c>
      <c r="E984" s="4">
        <f>852.239332777689 * CHOOSE(CONTROL!$C$6, $C$13, 100%, $E$13) + CHOOSE(CONTROL!$C$25, 0, 0)</f>
        <v>852.23933277768901</v>
      </c>
    </row>
    <row r="985" spans="1:5" ht="15">
      <c r="A985" s="13">
        <v>71863</v>
      </c>
      <c r="B985" s="4">
        <f>153.7024 * CHOOSE(CONTROL!$C$6, $C$13, 100%, $E$13) + CHOOSE(CONTROL!$C$25, 0.0238, 0)</f>
        <v>153.72620000000001</v>
      </c>
      <c r="C985" s="4">
        <f>153.3899 * CHOOSE(CONTROL!$C$6, $C$13, 100%, $E$13) + CHOOSE(CONTROL!$C$25, 0.0238, 0)</f>
        <v>153.41370000000001</v>
      </c>
      <c r="D985" s="4">
        <f>118.9902 * CHOOSE(CONTROL!$C$6, $C$13, 100%, $E$13) + CHOOSE(CONTROL!$C$25, 0, 0)</f>
        <v>118.9902</v>
      </c>
      <c r="E985" s="4">
        <f>818.276870436747 * CHOOSE(CONTROL!$C$6, $C$13, 100%, $E$13) + CHOOSE(CONTROL!$C$25, 0, 0)</f>
        <v>818.276870436747</v>
      </c>
    </row>
    <row r="986" spans="1:5" ht="15">
      <c r="A986" s="13">
        <v>71894</v>
      </c>
      <c r="B986" s="4">
        <f>148.6579 * CHOOSE(CONTROL!$C$6, $C$13, 100%, $E$13) + CHOOSE(CONTROL!$C$25, 0.0003, 0)</f>
        <v>148.65820000000002</v>
      </c>
      <c r="C986" s="4">
        <f>148.3454 * CHOOSE(CONTROL!$C$6, $C$13, 100%, $E$13) + CHOOSE(CONTROL!$C$25, 0.0003, 0)</f>
        <v>148.34570000000002</v>
      </c>
      <c r="D986" s="4">
        <f>117.3727 * CHOOSE(CONTROL!$C$6, $C$13, 100%, $E$13) + CHOOSE(CONTROL!$C$25, 0, 0)</f>
        <v>117.37269999999999</v>
      </c>
      <c r="E986" s="4">
        <f>791.08924626258 * CHOOSE(CONTROL!$C$6, $C$13, 100%, $E$13) + CHOOSE(CONTROL!$C$25, 0, 0)</f>
        <v>791.08924626257999</v>
      </c>
    </row>
    <row r="987" spans="1:5" ht="15">
      <c r="A987" s="13">
        <v>71924</v>
      </c>
      <c r="B987" s="4">
        <f>145.4088 * CHOOSE(CONTROL!$C$6, $C$13, 100%, $E$13) + CHOOSE(CONTROL!$C$25, 0.0003, 0)</f>
        <v>145.40910000000002</v>
      </c>
      <c r="C987" s="4">
        <f>145.0963 * CHOOSE(CONTROL!$C$6, $C$13, 100%, $E$13) + CHOOSE(CONTROL!$C$25, 0.0003, 0)</f>
        <v>145.09660000000002</v>
      </c>
      <c r="D987" s="4">
        <f>116.8166 * CHOOSE(CONTROL!$C$6, $C$13, 100%, $E$13) + CHOOSE(CONTROL!$C$25, 0, 0)</f>
        <v>116.81659999999999</v>
      </c>
      <c r="E987" s="4">
        <f>773.578386049755 * CHOOSE(CONTROL!$C$6, $C$13, 100%, $E$13) + CHOOSE(CONTROL!$C$25, 0, 0)</f>
        <v>773.57838604975495</v>
      </c>
    </row>
    <row r="988" spans="1:5" ht="15">
      <c r="A988" s="13">
        <v>71955</v>
      </c>
      <c r="B988" s="4">
        <f>143.1609 * CHOOSE(CONTROL!$C$6, $C$13, 100%, $E$13) + CHOOSE(CONTROL!$C$25, 0.0003, 0)</f>
        <v>143.16120000000001</v>
      </c>
      <c r="C988" s="4">
        <f>142.8484 * CHOOSE(CONTROL!$C$6, $C$13, 100%, $E$13) + CHOOSE(CONTROL!$C$25, 0.0003, 0)</f>
        <v>142.84870000000001</v>
      </c>
      <c r="D988" s="4">
        <f>112.7227 * CHOOSE(CONTROL!$C$6, $C$13, 100%, $E$13) + CHOOSE(CONTROL!$C$25, 0, 0)</f>
        <v>112.7227</v>
      </c>
      <c r="E988" s="4">
        <f>761.46312170591 * CHOOSE(CONTROL!$C$6, $C$13, 100%, $E$13) + CHOOSE(CONTROL!$C$25, 0, 0)</f>
        <v>761.46312170591</v>
      </c>
    </row>
    <row r="989" spans="1:5" ht="15">
      <c r="A989" s="13">
        <v>71986</v>
      </c>
      <c r="B989" s="4">
        <f>139.5085 * CHOOSE(CONTROL!$C$6, $C$13, 100%, $E$13) + CHOOSE(CONTROL!$C$25, 0.0003, 0)</f>
        <v>139.50880000000001</v>
      </c>
      <c r="C989" s="4">
        <f>139.196 * CHOOSE(CONTROL!$C$6, $C$13, 100%, $E$13) + CHOOSE(CONTROL!$C$25, 0.0003, 0)</f>
        <v>139.19630000000001</v>
      </c>
      <c r="D989" s="4">
        <f>108.96 * CHOOSE(CONTROL!$C$6, $C$13, 100%, $E$13) + CHOOSE(CONTROL!$C$25, 0, 0)</f>
        <v>108.96</v>
      </c>
      <c r="E989" s="4">
        <f>739.627261080501 * CHOOSE(CONTROL!$C$6, $C$13, 100%, $E$13) + CHOOSE(CONTROL!$C$25, 0, 0)</f>
        <v>739.62726108050094</v>
      </c>
    </row>
    <row r="990" spans="1:5" ht="15">
      <c r="A990" s="13">
        <v>72014</v>
      </c>
      <c r="B990" s="4">
        <f>142.7764 * CHOOSE(CONTROL!$C$6, $C$13, 100%, $E$13) + CHOOSE(CONTROL!$C$25, 0.0003, 0)</f>
        <v>142.77670000000001</v>
      </c>
      <c r="C990" s="4">
        <f>142.4639 * CHOOSE(CONTROL!$C$6, $C$13, 100%, $E$13) + CHOOSE(CONTROL!$C$25, 0.0003, 0)</f>
        <v>142.46420000000001</v>
      </c>
      <c r="D990" s="4">
        <f>112.749 * CHOOSE(CONTROL!$C$6, $C$13, 100%, $E$13) + CHOOSE(CONTROL!$C$25, 0, 0)</f>
        <v>112.749</v>
      </c>
      <c r="E990" s="4">
        <f>757.188927062608 * CHOOSE(CONTROL!$C$6, $C$13, 100%, $E$13) + CHOOSE(CONTROL!$C$25, 0, 0)</f>
        <v>757.18892706260795</v>
      </c>
    </row>
    <row r="991" spans="1:5" ht="15">
      <c r="A991" s="13">
        <v>72045</v>
      </c>
      <c r="B991" s="4">
        <f>151.3583 * CHOOSE(CONTROL!$C$6, $C$13, 100%, $E$13) + CHOOSE(CONTROL!$C$25, 0.0003, 0)</f>
        <v>151.35860000000002</v>
      </c>
      <c r="C991" s="4">
        <f>151.0458 * CHOOSE(CONTROL!$C$6, $C$13, 100%, $E$13) + CHOOSE(CONTROL!$C$25, 0.0003, 0)</f>
        <v>151.04610000000002</v>
      </c>
      <c r="D991" s="4">
        <f>118.6805 * CHOOSE(CONTROL!$C$6, $C$13, 100%, $E$13) + CHOOSE(CONTROL!$C$25, 0, 0)</f>
        <v>118.68049999999999</v>
      </c>
      <c r="E991" s="4">
        <f>803.30679521523 * CHOOSE(CONTROL!$C$6, $C$13, 100%, $E$13) + CHOOSE(CONTROL!$C$25, 0, 0)</f>
        <v>803.30679521522995</v>
      </c>
    </row>
    <row r="992" spans="1:5" ht="15">
      <c r="A992" s="13">
        <v>72075</v>
      </c>
      <c r="B992" s="4">
        <f>157.4558 * CHOOSE(CONTROL!$C$6, $C$13, 100%, $E$13) + CHOOSE(CONTROL!$C$25, 0.0003, 0)</f>
        <v>157.45610000000002</v>
      </c>
      <c r="C992" s="4">
        <f>157.1433 * CHOOSE(CONTROL!$C$6, $C$13, 100%, $E$13) + CHOOSE(CONTROL!$C$25, 0.0003, 0)</f>
        <v>157.14360000000002</v>
      </c>
      <c r="D992" s="4">
        <f>122.0972 * CHOOSE(CONTROL!$C$6, $C$13, 100%, $E$13) + CHOOSE(CONTROL!$C$25, 0, 0)</f>
        <v>122.0972</v>
      </c>
      <c r="E992" s="4">
        <f>836.074155139071 * CHOOSE(CONTROL!$C$6, $C$13, 100%, $E$13) + CHOOSE(CONTROL!$C$25, 0, 0)</f>
        <v>836.07415513907097</v>
      </c>
    </row>
    <row r="993" spans="1:5" ht="15">
      <c r="A993" s="13">
        <v>72106</v>
      </c>
      <c r="B993" s="4">
        <f>161.1812 * CHOOSE(CONTROL!$C$6, $C$13, 100%, $E$13) + CHOOSE(CONTROL!$C$25, 0.0238, 0)</f>
        <v>161.20499999999998</v>
      </c>
      <c r="C993" s="4">
        <f>160.8687 * CHOOSE(CONTROL!$C$6, $C$13, 100%, $E$13) + CHOOSE(CONTROL!$C$25, 0.0238, 0)</f>
        <v>160.89249999999998</v>
      </c>
      <c r="D993" s="4">
        <f>120.7471 * CHOOSE(CONTROL!$C$6, $C$13, 100%, $E$13) + CHOOSE(CONTROL!$C$25, 0, 0)</f>
        <v>120.7471</v>
      </c>
      <c r="E993" s="4">
        <f>856.094226728523 * CHOOSE(CONTROL!$C$6, $C$13, 100%, $E$13) + CHOOSE(CONTROL!$C$25, 0, 0)</f>
        <v>856.09422672852304</v>
      </c>
    </row>
    <row r="994" spans="1:5" ht="15">
      <c r="A994" s="13">
        <v>72136</v>
      </c>
      <c r="B994" s="4">
        <f>161.6853 * CHOOSE(CONTROL!$C$6, $C$13, 100%, $E$13) + CHOOSE(CONTROL!$C$25, 0.0238, 0)</f>
        <v>161.70910000000001</v>
      </c>
      <c r="C994" s="4">
        <f>161.3728 * CHOOSE(CONTROL!$C$6, $C$13, 100%, $E$13) + CHOOSE(CONTROL!$C$25, 0.0238, 0)</f>
        <v>161.39660000000001</v>
      </c>
      <c r="D994" s="4">
        <f>121.8467 * CHOOSE(CONTROL!$C$6, $C$13, 100%, $E$13) + CHOOSE(CONTROL!$C$25, 0, 0)</f>
        <v>121.8467</v>
      </c>
      <c r="E994" s="4">
        <f>858.803025499581 * CHOOSE(CONTROL!$C$6, $C$13, 100%, $E$13) + CHOOSE(CONTROL!$C$25, 0, 0)</f>
        <v>858.80302549958105</v>
      </c>
    </row>
    <row r="995" spans="1:5" ht="15">
      <c r="A995" s="13">
        <v>72167</v>
      </c>
      <c r="B995" s="4">
        <f>161.6344 * CHOOSE(CONTROL!$C$6, $C$13, 100%, $E$13) + CHOOSE(CONTROL!$C$25, 0.0238, 0)</f>
        <v>161.65819999999999</v>
      </c>
      <c r="C995" s="4">
        <f>161.3219 * CHOOSE(CONTROL!$C$6, $C$13, 100%, $E$13) + CHOOSE(CONTROL!$C$25, 0.0238, 0)</f>
        <v>161.34569999999999</v>
      </c>
      <c r="D995" s="4">
        <f>123.8307 * CHOOSE(CONTROL!$C$6, $C$13, 100%, $E$13) + CHOOSE(CONTROL!$C$25, 0, 0)</f>
        <v>123.83069999999999</v>
      </c>
      <c r="E995" s="4">
        <f>858.529869320987 * CHOOSE(CONTROL!$C$6, $C$13, 100%, $E$13) + CHOOSE(CONTROL!$C$25, 0, 0)</f>
        <v>858.52986932098702</v>
      </c>
    </row>
    <row r="996" spans="1:5" ht="15">
      <c r="A996" s="13">
        <v>72198</v>
      </c>
      <c r="B996" s="4">
        <f>165.4594 * CHOOSE(CONTROL!$C$6, $C$13, 100%, $E$13) + CHOOSE(CONTROL!$C$25, 0.0238, 0)</f>
        <v>165.48319999999998</v>
      </c>
      <c r="C996" s="4">
        <f>165.1469 * CHOOSE(CONTROL!$C$6, $C$13, 100%, $E$13) + CHOOSE(CONTROL!$C$25, 0.0238, 0)</f>
        <v>165.17069999999998</v>
      </c>
      <c r="D996" s="4">
        <f>122.5204 * CHOOSE(CONTROL!$C$6, $C$13, 100%, $E$13) + CHOOSE(CONTROL!$C$25, 0, 0)</f>
        <v>122.5204</v>
      </c>
      <c r="E996" s="4">
        <f>879.084871760186 * CHOOSE(CONTROL!$C$6, $C$13, 100%, $E$13) + CHOOSE(CONTROL!$C$25, 0, 0)</f>
        <v>879.08487176018605</v>
      </c>
    </row>
    <row r="997" spans="1:5" ht="15">
      <c r="A997" s="13">
        <v>72228</v>
      </c>
      <c r="B997" s="4">
        <f>158.9404 * CHOOSE(CONTROL!$C$6, $C$13, 100%, $E$13) + CHOOSE(CONTROL!$C$25, 0.0238, 0)</f>
        <v>158.96420000000001</v>
      </c>
      <c r="C997" s="4">
        <f>158.6279 * CHOOSE(CONTROL!$C$6, $C$13, 100%, $E$13) + CHOOSE(CONTROL!$C$25, 0.0238, 0)</f>
        <v>158.65170000000001</v>
      </c>
      <c r="D997" s="4">
        <f>121.9014 * CHOOSE(CONTROL!$C$6, $C$13, 100%, $E$13) + CHOOSE(CONTROL!$C$25, 0, 0)</f>
        <v>121.9014</v>
      </c>
      <c r="E997" s="4">
        <f>844.052591855504 * CHOOSE(CONTROL!$C$6, $C$13, 100%, $E$13) + CHOOSE(CONTROL!$C$25, 0, 0)</f>
        <v>844.05259185550403</v>
      </c>
    </row>
    <row r="998" spans="1:5" ht="15">
      <c r="A998" s="13">
        <v>72259</v>
      </c>
      <c r="B998" s="4">
        <f>153.7219 * CHOOSE(CONTROL!$C$6, $C$13, 100%, $E$13) + CHOOSE(CONTROL!$C$25, 0.0003, 0)</f>
        <v>153.72220000000002</v>
      </c>
      <c r="C998" s="4">
        <f>153.4094 * CHOOSE(CONTROL!$C$6, $C$13, 100%, $E$13) + CHOOSE(CONTROL!$C$25, 0.0003, 0)</f>
        <v>153.40970000000002</v>
      </c>
      <c r="D998" s="4">
        <f>120.2438 * CHOOSE(CONTROL!$C$6, $C$13, 100%, $E$13) + CHOOSE(CONTROL!$C$25, 0, 0)</f>
        <v>120.24379999999999</v>
      </c>
      <c r="E998" s="4">
        <f>816.008557519852 * CHOOSE(CONTROL!$C$6, $C$13, 100%, $E$13) + CHOOSE(CONTROL!$C$25, 0, 0)</f>
        <v>816.00855751985205</v>
      </c>
    </row>
    <row r="999" spans="1:5" ht="15">
      <c r="A999" s="13">
        <v>72289</v>
      </c>
      <c r="B999" s="4">
        <f>150.3607 * CHOOSE(CONTROL!$C$6, $C$13, 100%, $E$13) + CHOOSE(CONTROL!$C$25, 0.0003, 0)</f>
        <v>150.36100000000002</v>
      </c>
      <c r="C999" s="4">
        <f>150.0482 * CHOOSE(CONTROL!$C$6, $C$13, 100%, $E$13) + CHOOSE(CONTROL!$C$25, 0.0003, 0)</f>
        <v>150.04850000000002</v>
      </c>
      <c r="D999" s="4">
        <f>119.6739 * CHOOSE(CONTROL!$C$6, $C$13, 100%, $E$13) + CHOOSE(CONTROL!$C$25, 0, 0)</f>
        <v>119.6739</v>
      </c>
      <c r="E999" s="4">
        <f>797.946105210323 * CHOOSE(CONTROL!$C$6, $C$13, 100%, $E$13) + CHOOSE(CONTROL!$C$25, 0, 0)</f>
        <v>797.94610521032303</v>
      </c>
    </row>
    <row r="1000" spans="1:5" ht="15">
      <c r="A1000" s="13">
        <v>72320</v>
      </c>
      <c r="B1000" s="4">
        <f>148.0352 * CHOOSE(CONTROL!$C$6, $C$13, 100%, $E$13) + CHOOSE(CONTROL!$C$25, 0.0003, 0)</f>
        <v>148.03550000000001</v>
      </c>
      <c r="C1000" s="4">
        <f>147.7227 * CHOOSE(CONTROL!$C$6, $C$13, 100%, $E$13) + CHOOSE(CONTROL!$C$25, 0.0003, 0)</f>
        <v>147.72300000000001</v>
      </c>
      <c r="D1000" s="4">
        <f>115.4784 * CHOOSE(CONTROL!$C$6, $C$13, 100%, $E$13) + CHOOSE(CONTROL!$C$25, 0, 0)</f>
        <v>115.47839999999999</v>
      </c>
      <c r="E1000" s="4">
        <f>785.449210039647 * CHOOSE(CONTROL!$C$6, $C$13, 100%, $E$13) + CHOOSE(CONTROL!$C$25, 0, 0)</f>
        <v>785.44921003964703</v>
      </c>
    </row>
    <row r="1001" spans="1:5" ht="15">
      <c r="A1001" s="13">
        <v>72351</v>
      </c>
      <c r="B1001" s="4">
        <f>144.2568 * CHOOSE(CONTROL!$C$6, $C$13, 100%, $E$13) + CHOOSE(CONTROL!$C$25, 0.0003, 0)</f>
        <v>144.25710000000001</v>
      </c>
      <c r="C1001" s="4">
        <f>143.9443 * CHOOSE(CONTROL!$C$6, $C$13, 100%, $E$13) + CHOOSE(CONTROL!$C$25, 0.0003, 0)</f>
        <v>143.94460000000001</v>
      </c>
      <c r="D1001" s="4">
        <f>111.6225 * CHOOSE(CONTROL!$C$6, $C$13, 100%, $E$13) + CHOOSE(CONTROL!$C$25, 0, 0)</f>
        <v>111.6225</v>
      </c>
      <c r="E1001" s="4">
        <f>762.925519804536 * CHOOSE(CONTROL!$C$6, $C$13, 100%, $E$13) + CHOOSE(CONTROL!$C$25, 0, 0)</f>
        <v>762.92551980453595</v>
      </c>
    </row>
    <row r="1002" spans="1:5" ht="15">
      <c r="A1002" s="13">
        <v>72379</v>
      </c>
      <c r="B1002" s="4">
        <f>147.6375 * CHOOSE(CONTROL!$C$6, $C$13, 100%, $E$13) + CHOOSE(CONTROL!$C$25, 0.0003, 0)</f>
        <v>147.6378</v>
      </c>
      <c r="C1002" s="4">
        <f>147.325 * CHOOSE(CONTROL!$C$6, $C$13, 100%, $E$13) + CHOOSE(CONTROL!$C$25, 0.0003, 0)</f>
        <v>147.3253</v>
      </c>
      <c r="D1002" s="4">
        <f>115.5055 * CHOOSE(CONTROL!$C$6, $C$13, 100%, $E$13) + CHOOSE(CONTROL!$C$25, 0, 0)</f>
        <v>115.5055</v>
      </c>
      <c r="E1002" s="4">
        <f>781.04037826508 * CHOOSE(CONTROL!$C$6, $C$13, 100%, $E$13) + CHOOSE(CONTROL!$C$25, 0, 0)</f>
        <v>781.04037826507999</v>
      </c>
    </row>
    <row r="1003" spans="1:5" ht="15">
      <c r="A1003" s="13">
        <v>72410</v>
      </c>
      <c r="B1003" s="4">
        <f>156.5154 * CHOOSE(CONTROL!$C$6, $C$13, 100%, $E$13) + CHOOSE(CONTROL!$C$25, 0.0003, 0)</f>
        <v>156.51570000000001</v>
      </c>
      <c r="C1003" s="4">
        <f>156.2029 * CHOOSE(CONTROL!$C$6, $C$13, 100%, $E$13) + CHOOSE(CONTROL!$C$25, 0.0003, 0)</f>
        <v>156.20320000000001</v>
      </c>
      <c r="D1003" s="4">
        <f>121.584 * CHOOSE(CONTROL!$C$6, $C$13, 100%, $E$13) + CHOOSE(CONTROL!$C$25, 0, 0)</f>
        <v>121.584</v>
      </c>
      <c r="E1003" s="4">
        <f>828.61095926451 * CHOOSE(CONTROL!$C$6, $C$13, 100%, $E$13) + CHOOSE(CONTROL!$C$25, 0, 0)</f>
        <v>828.61095926451003</v>
      </c>
    </row>
    <row r="1004" spans="1:5" ht="15">
      <c r="A1004" s="13">
        <v>72440</v>
      </c>
      <c r="B1004" s="4">
        <f>162.8233 * CHOOSE(CONTROL!$C$6, $C$13, 100%, $E$13) + CHOOSE(CONTROL!$C$25, 0.0003, 0)</f>
        <v>162.8236</v>
      </c>
      <c r="C1004" s="4">
        <f>162.5108 * CHOOSE(CONTROL!$C$6, $C$13, 100%, $E$13) + CHOOSE(CONTROL!$C$25, 0.0003, 0)</f>
        <v>162.5111</v>
      </c>
      <c r="D1004" s="4">
        <f>125.0855 * CHOOSE(CONTROL!$C$6, $C$13, 100%, $E$13) + CHOOSE(CONTROL!$C$25, 0, 0)</f>
        <v>125.0855</v>
      </c>
      <c r="E1004" s="4">
        <f>862.410491025952 * CHOOSE(CONTROL!$C$6, $C$13, 100%, $E$13) + CHOOSE(CONTROL!$C$25, 0, 0)</f>
        <v>862.41049102595196</v>
      </c>
    </row>
    <row r="1005" spans="1:5" ht="15">
      <c r="A1005" s="13">
        <v>72471</v>
      </c>
      <c r="B1005" s="4">
        <f>166.6773 * CHOOSE(CONTROL!$C$6, $C$13, 100%, $E$13) + CHOOSE(CONTROL!$C$25, 0.0238, 0)</f>
        <v>166.7011</v>
      </c>
      <c r="C1005" s="4">
        <f>166.3648 * CHOOSE(CONTROL!$C$6, $C$13, 100%, $E$13) + CHOOSE(CONTROL!$C$25, 0.0238, 0)</f>
        <v>166.3886</v>
      </c>
      <c r="D1005" s="4">
        <f>123.7019 * CHOOSE(CONTROL!$C$6, $C$13, 100%, $E$13) + CHOOSE(CONTROL!$C$25, 0, 0)</f>
        <v>123.70189999999999</v>
      </c>
      <c r="E1005" s="4">
        <f>883.061194870472 * CHOOSE(CONTROL!$C$6, $C$13, 100%, $E$13) + CHOOSE(CONTROL!$C$25, 0, 0)</f>
        <v>883.06119487047204</v>
      </c>
    </row>
    <row r="1006" spans="1:5" ht="15">
      <c r="A1006" s="13">
        <v>72501</v>
      </c>
      <c r="B1006" s="4">
        <f>167.1987 * CHOOSE(CONTROL!$C$6, $C$13, 100%, $E$13) + CHOOSE(CONTROL!$C$25, 0.0238, 0)</f>
        <v>167.2225</v>
      </c>
      <c r="C1006" s="4">
        <f>166.8862 * CHOOSE(CONTROL!$C$6, $C$13, 100%, $E$13) + CHOOSE(CONTROL!$C$25, 0.0238, 0)</f>
        <v>166.91</v>
      </c>
      <c r="D1006" s="4">
        <f>124.8287 * CHOOSE(CONTROL!$C$6, $C$13, 100%, $E$13) + CHOOSE(CONTROL!$C$25, 0, 0)</f>
        <v>124.8287</v>
      </c>
      <c r="E1006" s="4">
        <f>885.855320802818 * CHOOSE(CONTROL!$C$6, $C$13, 100%, $E$13) + CHOOSE(CONTROL!$C$25, 0, 0)</f>
        <v>885.85532080281803</v>
      </c>
    </row>
    <row r="1007" spans="1:5" ht="15">
      <c r="A1007" s="13">
        <v>72532</v>
      </c>
      <c r="B1007" s="4">
        <f>167.1461 * CHOOSE(CONTROL!$C$6, $C$13, 100%, $E$13) + CHOOSE(CONTROL!$C$25, 0.0238, 0)</f>
        <v>167.16989999999998</v>
      </c>
      <c r="C1007" s="4">
        <f>166.8336 * CHOOSE(CONTROL!$C$6, $C$13, 100%, $E$13) + CHOOSE(CONTROL!$C$25, 0.0238, 0)</f>
        <v>166.85739999999998</v>
      </c>
      <c r="D1007" s="4">
        <f>126.8619 * CHOOSE(CONTROL!$C$6, $C$13, 100%, $E$13) + CHOOSE(CONTROL!$C$25, 0, 0)</f>
        <v>126.86190000000001</v>
      </c>
      <c r="E1007" s="4">
        <f>885.573560204598 * CHOOSE(CONTROL!$C$6, $C$13, 100%, $E$13) + CHOOSE(CONTROL!$C$25, 0, 0)</f>
        <v>885.57356020459804</v>
      </c>
    </row>
    <row r="1008" spans="1:5" ht="15">
      <c r="A1008" s="13">
        <v>72563</v>
      </c>
      <c r="B1008" s="4">
        <f>171.1031 * CHOOSE(CONTROL!$C$6, $C$13, 100%, $E$13) + CHOOSE(CONTROL!$C$25, 0.0238, 0)</f>
        <v>171.12690000000001</v>
      </c>
      <c r="C1008" s="4">
        <f>170.7906 * CHOOSE(CONTROL!$C$6, $C$13, 100%, $E$13) + CHOOSE(CONTROL!$C$25, 0.0238, 0)</f>
        <v>170.81440000000001</v>
      </c>
      <c r="D1008" s="4">
        <f>125.5192 * CHOOSE(CONTROL!$C$6, $C$13, 100%, $E$13) + CHOOSE(CONTROL!$C$25, 0, 0)</f>
        <v>125.5192</v>
      </c>
      <c r="E1008" s="4">
        <f>906.776045220632 * CHOOSE(CONTROL!$C$6, $C$13, 100%, $E$13) + CHOOSE(CONTROL!$C$25, 0, 0)</f>
        <v>906.776045220632</v>
      </c>
    </row>
    <row r="1009" spans="1:5" ht="15">
      <c r="A1009" s="13">
        <v>72593</v>
      </c>
      <c r="B1009" s="4">
        <f>164.3592 * CHOOSE(CONTROL!$C$6, $C$13, 100%, $E$13) + CHOOSE(CONTROL!$C$25, 0.0238, 0)</f>
        <v>164.38299999999998</v>
      </c>
      <c r="C1009" s="4">
        <f>164.0467 * CHOOSE(CONTROL!$C$6, $C$13, 100%, $E$13) + CHOOSE(CONTROL!$C$25, 0.0238, 0)</f>
        <v>164.07049999999998</v>
      </c>
      <c r="D1009" s="4">
        <f>124.8847 * CHOOSE(CONTROL!$C$6, $C$13, 100%, $E$13) + CHOOSE(CONTROL!$C$25, 0, 0)</f>
        <v>124.8847</v>
      </c>
      <c r="E1009" s="4">
        <f>870.640248498953 * CHOOSE(CONTROL!$C$6, $C$13, 100%, $E$13) + CHOOSE(CONTROL!$C$25, 0, 0)</f>
        <v>870.64024849895304</v>
      </c>
    </row>
    <row r="1010" spans="1:5" ht="15">
      <c r="A1010" s="13">
        <v>72624</v>
      </c>
      <c r="B1010" s="4">
        <f>158.9606 * CHOOSE(CONTROL!$C$6, $C$13, 100%, $E$13) + CHOOSE(CONTROL!$C$25, 0.0003, 0)</f>
        <v>158.96090000000001</v>
      </c>
      <c r="C1010" s="4">
        <f>158.6481 * CHOOSE(CONTROL!$C$6, $C$13, 100%, $E$13) + CHOOSE(CONTROL!$C$25, 0.0003, 0)</f>
        <v>158.64840000000001</v>
      </c>
      <c r="D1010" s="4">
        <f>123.1861 * CHOOSE(CONTROL!$C$6, $C$13, 100%, $E$13) + CHOOSE(CONTROL!$C$25, 0, 0)</f>
        <v>123.1861</v>
      </c>
      <c r="E1010" s="4">
        <f>841.712827081727 * CHOOSE(CONTROL!$C$6, $C$13, 100%, $E$13) + CHOOSE(CONTROL!$C$25, 0, 0)</f>
        <v>841.71282708172703</v>
      </c>
    </row>
    <row r="1011" spans="1:5" ht="15">
      <c r="A1011" s="13">
        <v>72654</v>
      </c>
      <c r="B1011" s="4">
        <f>155.4835 * CHOOSE(CONTROL!$C$6, $C$13, 100%, $E$13) + CHOOSE(CONTROL!$C$25, 0.0003, 0)</f>
        <v>155.4838</v>
      </c>
      <c r="C1011" s="4">
        <f>155.171 * CHOOSE(CONTROL!$C$6, $C$13, 100%, $E$13) + CHOOSE(CONTROL!$C$25, 0.0003, 0)</f>
        <v>155.1713</v>
      </c>
      <c r="D1011" s="4">
        <f>122.6021 * CHOOSE(CONTROL!$C$6, $C$13, 100%, $E$13) + CHOOSE(CONTROL!$C$25, 0, 0)</f>
        <v>122.60209999999999</v>
      </c>
      <c r="E1011" s="4">
        <f>823.081407524448 * CHOOSE(CONTROL!$C$6, $C$13, 100%, $E$13) + CHOOSE(CONTROL!$C$25, 0, 0)</f>
        <v>823.08140752444797</v>
      </c>
    </row>
    <row r="1012" spans="1:5" ht="15">
      <c r="A1012" s="13">
        <v>72685</v>
      </c>
      <c r="B1012" s="4">
        <f>153.0778 * CHOOSE(CONTROL!$C$6, $C$13, 100%, $E$13) + CHOOSE(CONTROL!$C$25, 0.0003, 0)</f>
        <v>153.07810000000001</v>
      </c>
      <c r="C1012" s="4">
        <f>152.7653 * CHOOSE(CONTROL!$C$6, $C$13, 100%, $E$13) + CHOOSE(CONTROL!$C$25, 0.0003, 0)</f>
        <v>152.76560000000001</v>
      </c>
      <c r="D1012" s="4">
        <f>118.3026 * CHOOSE(CONTROL!$C$6, $C$13, 100%, $E$13) + CHOOSE(CONTROL!$C$25, 0, 0)</f>
        <v>118.3026</v>
      </c>
      <c r="E1012" s="4">
        <f>810.190860155896 * CHOOSE(CONTROL!$C$6, $C$13, 100%, $E$13) + CHOOSE(CONTROL!$C$25, 0, 0)</f>
        <v>810.19086015589596</v>
      </c>
    </row>
    <row r="1013" spans="1:5" ht="15">
      <c r="A1013" s="13">
        <v>72716</v>
      </c>
      <c r="B1013" s="4">
        <f>149.169 * CHOOSE(CONTROL!$C$6, $C$13, 100%, $E$13) + CHOOSE(CONTROL!$C$25, 0.0003, 0)</f>
        <v>149.16930000000002</v>
      </c>
      <c r="C1013" s="4">
        <f>148.8565 * CHOOSE(CONTROL!$C$6, $C$13, 100%, $E$13) + CHOOSE(CONTROL!$C$25, 0.0003, 0)</f>
        <v>148.85680000000002</v>
      </c>
      <c r="D1013" s="4">
        <f>114.3509 * CHOOSE(CONTROL!$C$6, $C$13, 100%, $E$13) + CHOOSE(CONTROL!$C$25, 0, 0)</f>
        <v>114.3509</v>
      </c>
      <c r="E1013" s="4">
        <f>786.957673678379 * CHOOSE(CONTROL!$C$6, $C$13, 100%, $E$13) + CHOOSE(CONTROL!$C$25, 0, 0)</f>
        <v>786.95767367837902</v>
      </c>
    </row>
    <row r="1014" spans="1:5" ht="15">
      <c r="A1014" s="13">
        <v>72744</v>
      </c>
      <c r="B1014" s="4">
        <f>152.6663 * CHOOSE(CONTROL!$C$6, $C$13, 100%, $E$13) + CHOOSE(CONTROL!$C$25, 0.0003, 0)</f>
        <v>152.66660000000002</v>
      </c>
      <c r="C1014" s="4">
        <f>152.3538 * CHOOSE(CONTROL!$C$6, $C$13, 100%, $E$13) + CHOOSE(CONTROL!$C$25, 0.0003, 0)</f>
        <v>152.35410000000002</v>
      </c>
      <c r="D1014" s="4">
        <f>118.3302 * CHOOSE(CONTROL!$C$6, $C$13, 100%, $E$13) + CHOOSE(CONTROL!$C$25, 0, 0)</f>
        <v>118.3302</v>
      </c>
      <c r="E1014" s="4">
        <f>805.64315018043 * CHOOSE(CONTROL!$C$6, $C$13, 100%, $E$13) + CHOOSE(CONTROL!$C$25, 0, 0)</f>
        <v>805.64315018042998</v>
      </c>
    </row>
    <row r="1015" spans="1:5" ht="15">
      <c r="A1015" s="13">
        <v>72775</v>
      </c>
      <c r="B1015" s="4">
        <f>161.8505 * CHOOSE(CONTROL!$C$6, $C$13, 100%, $E$13) + CHOOSE(CONTROL!$C$25, 0.0003, 0)</f>
        <v>161.85080000000002</v>
      </c>
      <c r="C1015" s="4">
        <f>161.538 * CHOOSE(CONTROL!$C$6, $C$13, 100%, $E$13) + CHOOSE(CONTROL!$C$25, 0.0003, 0)</f>
        <v>161.53830000000002</v>
      </c>
      <c r="D1015" s="4">
        <f>124.5595 * CHOOSE(CONTROL!$C$6, $C$13, 100%, $E$13) + CHOOSE(CONTROL!$C$25, 0, 0)</f>
        <v>124.5595</v>
      </c>
      <c r="E1015" s="4">
        <f>854.712204481342 * CHOOSE(CONTROL!$C$6, $C$13, 100%, $E$13) + CHOOSE(CONTROL!$C$25, 0, 0)</f>
        <v>854.71220448134204</v>
      </c>
    </row>
    <row r="1016" spans="1:5" ht="15">
      <c r="A1016" s="13">
        <v>72805</v>
      </c>
      <c r="B1016" s="4">
        <f>168.376 * CHOOSE(CONTROL!$C$6, $C$13, 100%, $E$13) + CHOOSE(CONTROL!$C$25, 0.0003, 0)</f>
        <v>168.37630000000001</v>
      </c>
      <c r="C1016" s="4">
        <f>168.0635 * CHOOSE(CONTROL!$C$6, $C$13, 100%, $E$13) + CHOOSE(CONTROL!$C$25, 0.0003, 0)</f>
        <v>168.06380000000001</v>
      </c>
      <c r="D1016" s="4">
        <f>128.1478 * CHOOSE(CONTROL!$C$6, $C$13, 100%, $E$13) + CHOOSE(CONTROL!$C$25, 0, 0)</f>
        <v>128.14779999999999</v>
      </c>
      <c r="E1016" s="4">
        <f>889.576421493269 * CHOOSE(CONTROL!$C$6, $C$13, 100%, $E$13) + CHOOSE(CONTROL!$C$25, 0, 0)</f>
        <v>889.57642149326898</v>
      </c>
    </row>
    <row r="1017" spans="1:5" ht="15">
      <c r="A1017" s="13">
        <v>72836</v>
      </c>
      <c r="B1017" s="4">
        <f>172.3629 * CHOOSE(CONTROL!$C$6, $C$13, 100%, $E$13) + CHOOSE(CONTROL!$C$25, 0.0238, 0)</f>
        <v>172.38669999999999</v>
      </c>
      <c r="C1017" s="4">
        <f>172.0504 * CHOOSE(CONTROL!$C$6, $C$13, 100%, $E$13) + CHOOSE(CONTROL!$C$25, 0.0238, 0)</f>
        <v>172.07419999999999</v>
      </c>
      <c r="D1017" s="4">
        <f>126.7299 * CHOOSE(CONTROL!$C$6, $C$13, 100%, $E$13) + CHOOSE(CONTROL!$C$25, 0, 0)</f>
        <v>126.7299</v>
      </c>
      <c r="E1017" s="4">
        <f>910.877622508892 * CHOOSE(CONTROL!$C$6, $C$13, 100%, $E$13) + CHOOSE(CONTROL!$C$25, 0, 0)</f>
        <v>910.87762250889205</v>
      </c>
    </row>
    <row r="1018" spans="1:5" ht="15">
      <c r="A1018" s="13">
        <v>72866</v>
      </c>
      <c r="B1018" s="4">
        <f>172.9024 * CHOOSE(CONTROL!$C$6, $C$13, 100%, $E$13) + CHOOSE(CONTROL!$C$25, 0.0238, 0)</f>
        <v>172.92619999999999</v>
      </c>
      <c r="C1018" s="4">
        <f>172.5899 * CHOOSE(CONTROL!$C$6, $C$13, 100%, $E$13) + CHOOSE(CONTROL!$C$25, 0.0238, 0)</f>
        <v>172.61369999999999</v>
      </c>
      <c r="D1018" s="4">
        <f>127.8847 * CHOOSE(CONTROL!$C$6, $C$13, 100%, $E$13) + CHOOSE(CONTROL!$C$25, 0, 0)</f>
        <v>127.8847</v>
      </c>
      <c r="E1018" s="4">
        <f>913.759763408106 * CHOOSE(CONTROL!$C$6, $C$13, 100%, $E$13) + CHOOSE(CONTROL!$C$25, 0, 0)</f>
        <v>913.75976340810598</v>
      </c>
    </row>
    <row r="1019" spans="1:5" ht="15">
      <c r="A1019" s="13">
        <v>72897</v>
      </c>
      <c r="B1019" s="4">
        <f>172.848 * CHOOSE(CONTROL!$C$6, $C$13, 100%, $E$13) + CHOOSE(CONTROL!$C$25, 0.0238, 0)</f>
        <v>172.87180000000001</v>
      </c>
      <c r="C1019" s="4">
        <f>172.5355 * CHOOSE(CONTROL!$C$6, $C$13, 100%, $E$13) + CHOOSE(CONTROL!$C$25, 0.0238, 0)</f>
        <v>172.55930000000001</v>
      </c>
      <c r="D1019" s="4">
        <f>129.9683 * CHOOSE(CONTROL!$C$6, $C$13, 100%, $E$13) + CHOOSE(CONTROL!$C$25, 0, 0)</f>
        <v>129.9683</v>
      </c>
      <c r="E1019" s="4">
        <f>913.469127351043 * CHOOSE(CONTROL!$C$6, $C$13, 100%, $E$13) + CHOOSE(CONTROL!$C$25, 0, 0)</f>
        <v>913.46912735104297</v>
      </c>
    </row>
    <row r="1020" spans="1:5" ht="15">
      <c r="A1020" s="13">
        <v>72928</v>
      </c>
      <c r="B1020" s="4">
        <f>176.9414 * CHOOSE(CONTROL!$C$6, $C$13, 100%, $E$13) + CHOOSE(CONTROL!$C$25, 0.0238, 0)</f>
        <v>176.96519999999998</v>
      </c>
      <c r="C1020" s="4">
        <f>176.6289 * CHOOSE(CONTROL!$C$6, $C$13, 100%, $E$13) + CHOOSE(CONTROL!$C$25, 0.0238, 0)</f>
        <v>176.65269999999998</v>
      </c>
      <c r="D1020" s="4">
        <f>128.5923 * CHOOSE(CONTROL!$C$6, $C$13, 100%, $E$13) + CHOOSE(CONTROL!$C$25, 0, 0)</f>
        <v>128.59229999999999</v>
      </c>
      <c r="E1020" s="4">
        <f>935.339490645082 * CHOOSE(CONTROL!$C$6, $C$13, 100%, $E$13) + CHOOSE(CONTROL!$C$25, 0, 0)</f>
        <v>935.33949064508204</v>
      </c>
    </row>
    <row r="1021" spans="1:5" ht="15">
      <c r="A1021" s="13">
        <v>72958</v>
      </c>
      <c r="B1021" s="4">
        <f>169.9649 * CHOOSE(CONTROL!$C$6, $C$13, 100%, $E$13) + CHOOSE(CONTROL!$C$25, 0.0238, 0)</f>
        <v>169.98869999999999</v>
      </c>
      <c r="C1021" s="4">
        <f>169.6524 * CHOOSE(CONTROL!$C$6, $C$13, 100%, $E$13) + CHOOSE(CONTROL!$C$25, 0.0238, 0)</f>
        <v>169.67619999999999</v>
      </c>
      <c r="D1021" s="4">
        <f>127.9421 * CHOOSE(CONTROL!$C$6, $C$13, 100%, $E$13) + CHOOSE(CONTROL!$C$25, 0, 0)</f>
        <v>127.9421</v>
      </c>
      <c r="E1021" s="4">
        <f>898.06541632667 * CHOOSE(CONTROL!$C$6, $C$13, 100%, $E$13) + CHOOSE(CONTROL!$C$25, 0, 0)</f>
        <v>898.06541632666995</v>
      </c>
    </row>
    <row r="1022" spans="1:5" ht="15">
      <c r="A1022" s="13">
        <v>72989</v>
      </c>
      <c r="B1022" s="4">
        <f>164.38 * CHOOSE(CONTROL!$C$6, $C$13, 100%, $E$13) + CHOOSE(CONTROL!$C$25, 0.0003, 0)</f>
        <v>164.38030000000001</v>
      </c>
      <c r="C1022" s="4">
        <f>164.0675 * CHOOSE(CONTROL!$C$6, $C$13, 100%, $E$13) + CHOOSE(CONTROL!$C$25, 0.0003, 0)</f>
        <v>164.06780000000001</v>
      </c>
      <c r="D1022" s="4">
        <f>126.2013 * CHOOSE(CONTROL!$C$6, $C$13, 100%, $E$13) + CHOOSE(CONTROL!$C$25, 0, 0)</f>
        <v>126.2013</v>
      </c>
      <c r="E1022" s="4">
        <f>868.226781134802 * CHOOSE(CONTROL!$C$6, $C$13, 100%, $E$13) + CHOOSE(CONTROL!$C$25, 0, 0)</f>
        <v>868.22678113480197</v>
      </c>
    </row>
    <row r="1023" spans="1:5" ht="15">
      <c r="A1023" s="13">
        <v>73019</v>
      </c>
      <c r="B1023" s="4">
        <f>160.783 * CHOOSE(CONTROL!$C$6, $C$13, 100%, $E$13) + CHOOSE(CONTROL!$C$25, 0.0003, 0)</f>
        <v>160.7833</v>
      </c>
      <c r="C1023" s="4">
        <f>160.4705 * CHOOSE(CONTROL!$C$6, $C$13, 100%, $E$13) + CHOOSE(CONTROL!$C$25, 0.0003, 0)</f>
        <v>160.4708</v>
      </c>
      <c r="D1023" s="4">
        <f>125.6028 * CHOOSE(CONTROL!$C$6, $C$13, 100%, $E$13) + CHOOSE(CONTROL!$C$25, 0, 0)</f>
        <v>125.6028</v>
      </c>
      <c r="E1023" s="4">
        <f>849.008471861468 * CHOOSE(CONTROL!$C$6, $C$13, 100%, $E$13) + CHOOSE(CONTROL!$C$25, 0, 0)</f>
        <v>849.00847186146802</v>
      </c>
    </row>
    <row r="1024" spans="1:5" ht="15">
      <c r="A1024" s="13">
        <v>73050</v>
      </c>
      <c r="B1024" s="4">
        <f>158.2943 * CHOOSE(CONTROL!$C$6, $C$13, 100%, $E$13) + CHOOSE(CONTROL!$C$25, 0.0003, 0)</f>
        <v>158.2946</v>
      </c>
      <c r="C1024" s="4">
        <f>157.9818 * CHOOSE(CONTROL!$C$6, $C$13, 100%, $E$13) + CHOOSE(CONTROL!$C$25, 0.0003, 0)</f>
        <v>157.9821</v>
      </c>
      <c r="D1024" s="4">
        <f>121.1967 * CHOOSE(CONTROL!$C$6, $C$13, 100%, $E$13) + CHOOSE(CONTROL!$C$25, 0, 0)</f>
        <v>121.19670000000001</v>
      </c>
      <c r="E1024" s="4">
        <f>835.711872250806 * CHOOSE(CONTROL!$C$6, $C$13, 100%, $E$13) + CHOOSE(CONTROL!$C$25, 0, 0)</f>
        <v>835.71187225080598</v>
      </c>
    </row>
    <row r="1025" spans="1:5" ht="15">
      <c r="A1025" s="13">
        <v>73081</v>
      </c>
      <c r="B1025" s="4">
        <f>154.2506 * CHOOSE(CONTROL!$C$6, $C$13, 100%, $E$13) + CHOOSE(CONTROL!$C$25, 0.0003, 0)</f>
        <v>154.2509</v>
      </c>
      <c r="C1025" s="4">
        <f>153.9381 * CHOOSE(CONTROL!$C$6, $C$13, 100%, $E$13) + CHOOSE(CONTROL!$C$25, 0.0003, 0)</f>
        <v>153.9384</v>
      </c>
      <c r="D1025" s="4">
        <f>117.1471 * CHOOSE(CONTROL!$C$6, $C$13, 100%, $E$13) + CHOOSE(CONTROL!$C$25, 0, 0)</f>
        <v>117.14709999999999</v>
      </c>
      <c r="E1025" s="4">
        <f>811.746840399248 * CHOOSE(CONTROL!$C$6, $C$13, 100%, $E$13) + CHOOSE(CONTROL!$C$25, 0, 0)</f>
        <v>811.74684039924796</v>
      </c>
    </row>
    <row r="1026" spans="1:5" ht="15">
      <c r="A1026" s="13">
        <v>73109</v>
      </c>
      <c r="B1026" s="4">
        <f>157.8686 * CHOOSE(CONTROL!$C$6, $C$13, 100%, $E$13) + CHOOSE(CONTROL!$C$25, 0.0003, 0)</f>
        <v>157.8689</v>
      </c>
      <c r="C1026" s="4">
        <f>157.5561 * CHOOSE(CONTROL!$C$6, $C$13, 100%, $E$13) + CHOOSE(CONTROL!$C$25, 0.0003, 0)</f>
        <v>157.5564</v>
      </c>
      <c r="D1026" s="4">
        <f>121.2251 * CHOOSE(CONTROL!$C$6, $C$13, 100%, $E$13) + CHOOSE(CONTROL!$C$25, 0, 0)</f>
        <v>121.2251</v>
      </c>
      <c r="E1026" s="4">
        <f>831.020909411114 * CHOOSE(CONTROL!$C$6, $C$13, 100%, $E$13) + CHOOSE(CONTROL!$C$25, 0, 0)</f>
        <v>831.02090941111396</v>
      </c>
    </row>
    <row r="1027" spans="1:5" ht="15">
      <c r="A1027" s="13">
        <v>73140</v>
      </c>
      <c r="B1027" s="4">
        <f>167.3697 * CHOOSE(CONTROL!$C$6, $C$13, 100%, $E$13) + CHOOSE(CONTROL!$C$25, 0.0003, 0)</f>
        <v>167.37</v>
      </c>
      <c r="C1027" s="4">
        <f>167.0572 * CHOOSE(CONTROL!$C$6, $C$13, 100%, $E$13) + CHOOSE(CONTROL!$C$25, 0.0003, 0)</f>
        <v>167.0575</v>
      </c>
      <c r="D1027" s="4">
        <f>127.6089 * CHOOSE(CONTROL!$C$6, $C$13, 100%, $E$13) + CHOOSE(CONTROL!$C$25, 0, 0)</f>
        <v>127.60890000000001</v>
      </c>
      <c r="E1027" s="4">
        <f>881.635638922505 * CHOOSE(CONTROL!$C$6, $C$13, 100%, $E$13) + CHOOSE(CONTROL!$C$25, 0, 0)</f>
        <v>881.635638922505</v>
      </c>
    </row>
    <row r="1028" spans="1:5" ht="15">
      <c r="A1028" s="13">
        <v>73170</v>
      </c>
      <c r="B1028" s="4">
        <f>174.1203 * CHOOSE(CONTROL!$C$6, $C$13, 100%, $E$13) + CHOOSE(CONTROL!$C$25, 0.0003, 0)</f>
        <v>174.1206</v>
      </c>
      <c r="C1028" s="4">
        <f>173.8078 * CHOOSE(CONTROL!$C$6, $C$13, 100%, $E$13) + CHOOSE(CONTROL!$C$25, 0.0003, 0)</f>
        <v>173.8081</v>
      </c>
      <c r="D1028" s="4">
        <f>131.2861 * CHOOSE(CONTROL!$C$6, $C$13, 100%, $E$13) + CHOOSE(CONTROL!$C$25, 0, 0)</f>
        <v>131.2861</v>
      </c>
      <c r="E1028" s="4">
        <f>917.598078770307 * CHOOSE(CONTROL!$C$6, $C$13, 100%, $E$13) + CHOOSE(CONTROL!$C$25, 0, 0)</f>
        <v>917.59807877030698</v>
      </c>
    </row>
    <row r="1029" spans="1:5" ht="15">
      <c r="A1029" s="13">
        <v>73201</v>
      </c>
      <c r="B1029" s="4">
        <f>178.2448 * CHOOSE(CONTROL!$C$6, $C$13, 100%, $E$13) + CHOOSE(CONTROL!$C$25, 0.0238, 0)</f>
        <v>178.26859999999999</v>
      </c>
      <c r="C1029" s="4">
        <f>177.9323 * CHOOSE(CONTROL!$C$6, $C$13, 100%, $E$13) + CHOOSE(CONTROL!$C$25, 0.0238, 0)</f>
        <v>177.95609999999999</v>
      </c>
      <c r="D1029" s="4">
        <f>129.833 * CHOOSE(CONTROL!$C$6, $C$13, 100%, $E$13) + CHOOSE(CONTROL!$C$25, 0, 0)</f>
        <v>129.833</v>
      </c>
      <c r="E1029" s="4">
        <f>939.570267617922 * CHOOSE(CONTROL!$C$6, $C$13, 100%, $E$13) + CHOOSE(CONTROL!$C$25, 0, 0)</f>
        <v>939.57026761792201</v>
      </c>
    </row>
    <row r="1030" spans="1:5" ht="15">
      <c r="A1030" s="13">
        <v>73231</v>
      </c>
      <c r="B1030" s="4">
        <f>178.8028 * CHOOSE(CONTROL!$C$6, $C$13, 100%, $E$13) + CHOOSE(CONTROL!$C$25, 0.0238, 0)</f>
        <v>178.82659999999998</v>
      </c>
      <c r="C1030" s="4">
        <f>178.4903 * CHOOSE(CONTROL!$C$6, $C$13, 100%, $E$13) + CHOOSE(CONTROL!$C$25, 0.0238, 0)</f>
        <v>178.51409999999998</v>
      </c>
      <c r="D1030" s="4">
        <f>131.0165 * CHOOSE(CONTROL!$C$6, $C$13, 100%, $E$13) + CHOOSE(CONTROL!$C$25, 0, 0)</f>
        <v>131.01650000000001</v>
      </c>
      <c r="E1030" s="4">
        <f>942.543195955462 * CHOOSE(CONTROL!$C$6, $C$13, 100%, $E$13) + CHOOSE(CONTROL!$C$25, 0, 0)</f>
        <v>942.54319595546201</v>
      </c>
    </row>
    <row r="1031" spans="1:5" ht="15">
      <c r="A1031" s="13">
        <v>73262</v>
      </c>
      <c r="B1031" s="4">
        <f>178.7466 * CHOOSE(CONTROL!$C$6, $C$13, 100%, $E$13) + CHOOSE(CONTROL!$C$25, 0.0238, 0)</f>
        <v>178.7704</v>
      </c>
      <c r="C1031" s="4">
        <f>178.4341 * CHOOSE(CONTROL!$C$6, $C$13, 100%, $E$13) + CHOOSE(CONTROL!$C$25, 0.0238, 0)</f>
        <v>178.4579</v>
      </c>
      <c r="D1031" s="4">
        <f>133.1518 * CHOOSE(CONTROL!$C$6, $C$13, 100%, $E$13) + CHOOSE(CONTROL!$C$25, 0, 0)</f>
        <v>133.15180000000001</v>
      </c>
      <c r="E1031" s="4">
        <f>942.243404862601 * CHOOSE(CONTROL!$C$6, $C$13, 100%, $E$13) + CHOOSE(CONTROL!$C$25, 0, 0)</f>
        <v>942.24340486260098</v>
      </c>
    </row>
    <row r="1032" spans="1:5" ht="15">
      <c r="A1032" s="13">
        <v>73293</v>
      </c>
      <c r="B1032" s="4">
        <f>182.9812 * CHOOSE(CONTROL!$C$6, $C$13, 100%, $E$13) + CHOOSE(CONTROL!$C$25, 0.0238, 0)</f>
        <v>183.005</v>
      </c>
      <c r="C1032" s="4">
        <f>182.6687 * CHOOSE(CONTROL!$C$6, $C$13, 100%, $E$13) + CHOOSE(CONTROL!$C$25, 0.0238, 0)</f>
        <v>182.6925</v>
      </c>
      <c r="D1032" s="4">
        <f>131.7416 * CHOOSE(CONTROL!$C$6, $C$13, 100%, $E$13) + CHOOSE(CONTROL!$C$25, 0, 0)</f>
        <v>131.74160000000001</v>
      </c>
      <c r="E1032" s="4">
        <f>964.802684600402 * CHOOSE(CONTROL!$C$6, $C$13, 100%, $E$13) + CHOOSE(CONTROL!$C$25, 0, 0)</f>
        <v>964.80268460040202</v>
      </c>
    </row>
    <row r="1033" spans="1:5" ht="15">
      <c r="A1033" s="13">
        <v>73323</v>
      </c>
      <c r="B1033" s="4">
        <f>175.764 * CHOOSE(CONTROL!$C$6, $C$13, 100%, $E$13) + CHOOSE(CONTROL!$C$25, 0.0238, 0)</f>
        <v>175.7878</v>
      </c>
      <c r="C1033" s="4">
        <f>175.4515 * CHOOSE(CONTROL!$C$6, $C$13, 100%, $E$13) + CHOOSE(CONTROL!$C$25, 0.0238, 0)</f>
        <v>175.4753</v>
      </c>
      <c r="D1033" s="4">
        <f>131.0753 * CHOOSE(CONTROL!$C$6, $C$13, 100%, $E$13) + CHOOSE(CONTROL!$C$25, 0, 0)</f>
        <v>131.0753</v>
      </c>
      <c r="E1033" s="4">
        <f>926.35447694096 * CHOOSE(CONTROL!$C$6, $C$13, 100%, $E$13) + CHOOSE(CONTROL!$C$25, 0, 0)</f>
        <v>926.35447694096001</v>
      </c>
    </row>
    <row r="1034" spans="1:5" ht="15">
      <c r="A1034" s="13">
        <v>73354</v>
      </c>
      <c r="B1034" s="4">
        <f>169.9865 * CHOOSE(CONTROL!$C$6, $C$13, 100%, $E$13) + CHOOSE(CONTROL!$C$25, 0.0003, 0)</f>
        <v>169.98680000000002</v>
      </c>
      <c r="C1034" s="4">
        <f>169.674 * CHOOSE(CONTROL!$C$6, $C$13, 100%, $E$13) + CHOOSE(CONTROL!$C$25, 0.0003, 0)</f>
        <v>169.67430000000002</v>
      </c>
      <c r="D1034" s="4">
        <f>129.2914 * CHOOSE(CONTROL!$C$6, $C$13, 100%, $E$13) + CHOOSE(CONTROL!$C$25, 0, 0)</f>
        <v>129.29140000000001</v>
      </c>
      <c r="E1034" s="4">
        <f>895.575924740548 * CHOOSE(CONTROL!$C$6, $C$13, 100%, $E$13) + CHOOSE(CONTROL!$C$25, 0, 0)</f>
        <v>895.57592474054798</v>
      </c>
    </row>
    <row r="1035" spans="1:5" ht="15">
      <c r="A1035" s="13">
        <v>73384</v>
      </c>
      <c r="B1035" s="4">
        <f>166.2653 * CHOOSE(CONTROL!$C$6, $C$13, 100%, $E$13) + CHOOSE(CONTROL!$C$25, 0.0003, 0)</f>
        <v>166.26560000000001</v>
      </c>
      <c r="C1035" s="4">
        <f>165.9528 * CHOOSE(CONTROL!$C$6, $C$13, 100%, $E$13) + CHOOSE(CONTROL!$C$25, 0.0003, 0)</f>
        <v>165.95310000000001</v>
      </c>
      <c r="D1035" s="4">
        <f>128.678 * CHOOSE(CONTROL!$C$6, $C$13, 100%, $E$13) + CHOOSE(CONTROL!$C$25, 0, 0)</f>
        <v>128.678</v>
      </c>
      <c r="E1035" s="4">
        <f>875.752238725104 * CHOOSE(CONTROL!$C$6, $C$13, 100%, $E$13) + CHOOSE(CONTROL!$C$25, 0, 0)</f>
        <v>875.75223872510401</v>
      </c>
    </row>
    <row r="1036" spans="1:5" ht="15">
      <c r="A1036" s="13">
        <v>73415</v>
      </c>
      <c r="B1036" s="4">
        <f>163.6907 * CHOOSE(CONTROL!$C$6, $C$13, 100%, $E$13) + CHOOSE(CONTROL!$C$25, 0.0003, 0)</f>
        <v>163.691</v>
      </c>
      <c r="C1036" s="4">
        <f>163.3782 * CHOOSE(CONTROL!$C$6, $C$13, 100%, $E$13) + CHOOSE(CONTROL!$C$25, 0.0003, 0)</f>
        <v>163.3785</v>
      </c>
      <c r="D1036" s="4">
        <f>124.1626 * CHOOSE(CONTROL!$C$6, $C$13, 100%, $E$13) + CHOOSE(CONTROL!$C$25, 0, 0)</f>
        <v>124.1626</v>
      </c>
      <c r="E1036" s="4">
        <f>862.036796226707 * CHOOSE(CONTROL!$C$6, $C$13, 100%, $E$13) + CHOOSE(CONTROL!$C$25, 0, 0)</f>
        <v>862.036796226707</v>
      </c>
    </row>
    <row r="1037" spans="1:5" ht="15">
      <c r="A1037" s="10"/>
      <c r="B1037" s="4"/>
      <c r="C1037" s="4"/>
      <c r="D1037" s="4"/>
      <c r="E1037" s="4"/>
    </row>
    <row r="1038" spans="1:5" ht="15">
      <c r="A1038" s="3">
        <v>2016</v>
      </c>
      <c r="B1038" s="4">
        <f>AVERAGE(B17:B28)</f>
        <v>7.3922499999999998</v>
      </c>
      <c r="C1038" s="4">
        <f>AVERAGE(C17:C28)</f>
        <v>7.0797416666666662</v>
      </c>
      <c r="D1038" s="4">
        <f>AVERAGE(D17:D28)</f>
        <v>11.333383333333332</v>
      </c>
      <c r="E1038" s="4">
        <f>AVERAGE(E17:E28)</f>
        <v>42.607500000000002</v>
      </c>
    </row>
    <row r="1039" spans="1:5" ht="15">
      <c r="A1039" s="3">
        <v>2017</v>
      </c>
      <c r="B1039" s="4">
        <f>AVERAGE(B29:B40)</f>
        <v>8.7698583333333335</v>
      </c>
      <c r="C1039" s="4">
        <f>AVERAGE(C29:C40)</f>
        <v>8.4573666666666654</v>
      </c>
      <c r="D1039" s="4">
        <f>AVERAGE(D29:D40)</f>
        <v>12.966741666666669</v>
      </c>
      <c r="E1039" s="4">
        <f>AVERAGE(E29:E40)</f>
        <v>51.024166666666666</v>
      </c>
    </row>
    <row r="1040" spans="1:5" ht="15">
      <c r="A1040" s="3">
        <v>2018</v>
      </c>
      <c r="B1040" s="4">
        <f>AVERAGE(B41:B52)</f>
        <v>9.1017499999999991</v>
      </c>
      <c r="C1040" s="4">
        <f>AVERAGE(C41:C52)</f>
        <v>8.7892499999999991</v>
      </c>
      <c r="D1040" s="4">
        <f>AVERAGE(D41:D52)</f>
        <v>13.459575000000001</v>
      </c>
      <c r="E1040" s="4">
        <f>AVERAGE(E41:E52)</f>
        <v>53.148333333333319</v>
      </c>
    </row>
    <row r="1041" spans="1:5" ht="15">
      <c r="A1041" s="3">
        <v>2019</v>
      </c>
      <c r="B1041" s="4">
        <f>AVERAGE(B53:B64)</f>
        <v>10.7453</v>
      </c>
      <c r="C1041" s="4">
        <f>AVERAGE(C53:C64)</f>
        <v>10.432799999999999</v>
      </c>
      <c r="D1041" s="4">
        <f>AVERAGE(D53:D64)</f>
        <v>15.622008333333335</v>
      </c>
      <c r="E1041" s="4">
        <f>AVERAGE(E53:E64)</f>
        <v>62.581220957438127</v>
      </c>
    </row>
    <row r="1042" spans="1:5" ht="15">
      <c r="A1042" s="3">
        <v>2020</v>
      </c>
      <c r="B1042" s="4">
        <f>AVERAGE(B65:B76)</f>
        <v>11.264924999999998</v>
      </c>
      <c r="C1042" s="4">
        <f>AVERAGE(C65:C76)</f>
        <v>10.952424999999998</v>
      </c>
      <c r="D1042" s="4">
        <f>AVERAGE(D65:D76)</f>
        <v>16.271958333333334</v>
      </c>
      <c r="E1042" s="4">
        <f>AVERAGE(E65:E76)</f>
        <v>65.58130599975587</v>
      </c>
    </row>
    <row r="1043" spans="1:5" ht="15">
      <c r="A1043" s="3">
        <v>2021</v>
      </c>
      <c r="B1043" s="4">
        <f>AVERAGE(B77:B88)</f>
        <v>13.851049999999999</v>
      </c>
      <c r="C1043" s="4">
        <f>AVERAGE(C77:C88)</f>
        <v>13.538549999999999</v>
      </c>
      <c r="D1043" s="4">
        <f>AVERAGE(D77:D88)</f>
        <v>18.944975000000003</v>
      </c>
      <c r="E1043" s="4">
        <f>AVERAGE(E77:E88)</f>
        <v>79.410041809082017</v>
      </c>
    </row>
    <row r="1044" spans="1:5" ht="15">
      <c r="A1044" s="3">
        <v>2022</v>
      </c>
      <c r="B1044" s="4">
        <f>AVERAGE(B89:B100)</f>
        <v>14.461466666666665</v>
      </c>
      <c r="C1044" s="4">
        <f>AVERAGE(C89:C100)</f>
        <v>14.148966666666665</v>
      </c>
      <c r="D1044" s="4">
        <f>AVERAGE(D89:D100)</f>
        <v>19.767933333333328</v>
      </c>
      <c r="E1044" s="4">
        <f>AVERAGE(E89:E100)</f>
        <v>83.235992431640611</v>
      </c>
    </row>
    <row r="1045" spans="1:5" ht="15">
      <c r="A1045" s="3">
        <v>2023</v>
      </c>
      <c r="B1045" s="4">
        <f>AVERAGE(B101:B112)</f>
        <v>15.163333333333334</v>
      </c>
      <c r="C1045" s="4">
        <f>AVERAGE(C101:C112)</f>
        <v>14.850833333333334</v>
      </c>
      <c r="D1045" s="4">
        <f>AVERAGE(D101:D112)</f>
        <v>20.688566666666667</v>
      </c>
      <c r="E1045" s="4">
        <f>AVERAGE(E101:E112)</f>
        <v>87.234474182128906</v>
      </c>
    </row>
    <row r="1046" spans="1:5" ht="15">
      <c r="A1046" s="3">
        <v>2024</v>
      </c>
      <c r="B1046" s="4">
        <f>AVERAGE(B113:B124)</f>
        <v>15.842958333333334</v>
      </c>
      <c r="C1046" s="4">
        <f>AVERAGE(C113:C124)</f>
        <v>15.530458333333334</v>
      </c>
      <c r="D1046" s="4">
        <f>AVERAGE(D113:D124)</f>
        <v>21.973758333333333</v>
      </c>
      <c r="E1046" s="4">
        <f>AVERAGE(E113:E124)</f>
        <v>91.353088378906236</v>
      </c>
    </row>
    <row r="1047" spans="1:5" ht="15">
      <c r="A1047" s="3">
        <v>2025</v>
      </c>
      <c r="B1047" s="4">
        <f>AVERAGE(B125:B136)</f>
        <v>16.617391666666666</v>
      </c>
      <c r="C1047" s="4">
        <f>AVERAGE(C125:C136)</f>
        <v>16.304891666666666</v>
      </c>
      <c r="D1047" s="4">
        <f>AVERAGE(D125:D136)</f>
        <v>22.846108333333333</v>
      </c>
      <c r="E1047" s="4">
        <f>AVERAGE(E125:E136)</f>
        <v>94.339698791503906</v>
      </c>
    </row>
    <row r="1048" spans="1:5" ht="15">
      <c r="A1048" s="3">
        <v>2026</v>
      </c>
      <c r="B1048" s="4">
        <f>AVERAGE(B137:B148)</f>
        <v>17.069441666666666</v>
      </c>
      <c r="C1048" s="4">
        <f>AVERAGE(C137:C148)</f>
        <v>16.756941666666666</v>
      </c>
      <c r="D1048" s="4">
        <f>AVERAGE(D137:D148)</f>
        <v>23.491249999999997</v>
      </c>
      <c r="E1048" s="4">
        <f>AVERAGE(E137:E148)</f>
        <v>97.593208312988267</v>
      </c>
    </row>
    <row r="1049" spans="1:5" ht="15">
      <c r="A1049" s="3">
        <v>2027</v>
      </c>
      <c r="B1049" s="4">
        <f>AVERAGE(B149:B160)</f>
        <v>17.47195</v>
      </c>
      <c r="C1049" s="4">
        <f>AVERAGE(C149:C160)</f>
        <v>17.15945</v>
      </c>
      <c r="D1049" s="4">
        <f>AVERAGE(D149:D160)</f>
        <v>24.029824999999999</v>
      </c>
      <c r="E1049" s="4">
        <f>AVERAGE(E149:E160)</f>
        <v>100.23445129394527</v>
      </c>
    </row>
    <row r="1050" spans="1:5" ht="15">
      <c r="A1050" s="3">
        <v>2028</v>
      </c>
      <c r="B1050" s="4">
        <f>AVERAGE(B161:B172)</f>
        <v>17.850616666666664</v>
      </c>
      <c r="C1050" s="4">
        <f>AVERAGE(C161:C172)</f>
        <v>17.538116666666664</v>
      </c>
      <c r="D1050" s="4">
        <f>AVERAGE(D161:D172)</f>
        <v>24.491758333333333</v>
      </c>
      <c r="E1050" s="4">
        <f>AVERAGE(E161:E172)</f>
        <v>102.7779159545899</v>
      </c>
    </row>
    <row r="1051" spans="1:5" ht="15">
      <c r="A1051" s="3">
        <v>2029</v>
      </c>
      <c r="B1051" s="4">
        <f>AVERAGE(B173:B184)</f>
        <v>18.296074999999998</v>
      </c>
      <c r="C1051" s="4">
        <f>AVERAGE(C173:C184)</f>
        <v>17.983574999999998</v>
      </c>
      <c r="D1051" s="4">
        <f>AVERAGE(D173:D184)</f>
        <v>24.959374999999998</v>
      </c>
      <c r="E1051" s="4">
        <f>AVERAGE(E173:E184)</f>
        <v>105.64903259277338</v>
      </c>
    </row>
    <row r="1052" spans="1:5" ht="15">
      <c r="A1052" s="3">
        <v>2030</v>
      </c>
      <c r="B1052" s="4">
        <f>AVERAGE(B185:B196)</f>
        <v>18.742808333333333</v>
      </c>
      <c r="C1052" s="4">
        <f>AVERAGE(C185:C196)</f>
        <v>18.430308333333333</v>
      </c>
      <c r="D1052" s="4">
        <f>AVERAGE(D185:D196)</f>
        <v>25.436091666666666</v>
      </c>
      <c r="E1052" s="4">
        <f>AVERAGE(E185:E196)</f>
        <v>108.54174041748045</v>
      </c>
    </row>
    <row r="1053" spans="1:5" ht="15">
      <c r="A1053" s="3">
        <v>2031</v>
      </c>
      <c r="B1053" s="4">
        <f>AVERAGE(B197:B208)</f>
        <v>19.078175000000002</v>
      </c>
      <c r="C1053" s="4">
        <f>AVERAGE(C197:C208)</f>
        <v>18.765675000000002</v>
      </c>
      <c r="D1053" s="4">
        <f>AVERAGE(D197:D208)</f>
        <v>25.803691666666669</v>
      </c>
      <c r="E1053" s="4">
        <f>AVERAGE(E197:E208)</f>
        <v>110.76666259765625</v>
      </c>
    </row>
    <row r="1054" spans="1:5" ht="15">
      <c r="A1054" s="3">
        <v>2032</v>
      </c>
      <c r="B1054" s="4">
        <f>AVERAGE(B209:B220)</f>
        <v>19.432141666666666</v>
      </c>
      <c r="C1054" s="4">
        <f>AVERAGE(C209:C220)</f>
        <v>19.119641666666666</v>
      </c>
      <c r="D1054" s="4">
        <f>AVERAGE(D209:D220)</f>
        <v>26.17455</v>
      </c>
      <c r="E1054" s="4">
        <f>AVERAGE(E209:E220)</f>
        <v>112.99793243408202</v>
      </c>
    </row>
    <row r="1055" spans="1:5" ht="15">
      <c r="A1055" s="3">
        <v>2033</v>
      </c>
      <c r="B1055" s="4">
        <f>AVERAGE(B221:B232)</f>
        <v>19.781933333333331</v>
      </c>
      <c r="C1055" s="4">
        <f>AVERAGE(C221:C232)</f>
        <v>19.469433333333331</v>
      </c>
      <c r="D1055" s="4">
        <f>AVERAGE(D221:D232)</f>
        <v>26.540808333333331</v>
      </c>
      <c r="E1055" s="4">
        <f>AVERAGE(E221:E232)</f>
        <v>115.21363830566411</v>
      </c>
    </row>
    <row r="1056" spans="1:5" ht="15">
      <c r="A1056" s="3">
        <v>2034</v>
      </c>
      <c r="B1056" s="4">
        <f>AVERAGE(B233:B244)</f>
        <v>20.137641666666667</v>
      </c>
      <c r="C1056" s="4">
        <f>AVERAGE(C233:C244)</f>
        <v>19.825141666666667</v>
      </c>
      <c r="D1056" s="4">
        <f>AVERAGE(D233:D244)</f>
        <v>26.913566666666668</v>
      </c>
      <c r="E1056" s="4">
        <f>AVERAGE(E233:E244)</f>
        <v>117.47233581542969</v>
      </c>
    </row>
    <row r="1057" spans="1:5" ht="15">
      <c r="A1057" s="3">
        <v>2035</v>
      </c>
      <c r="B1057" s="4">
        <f>AVERAGE(B245:B256)</f>
        <v>20.501158333333333</v>
      </c>
      <c r="C1057" s="4">
        <f>AVERAGE(C245:C256)</f>
        <v>20.188658333333333</v>
      </c>
      <c r="D1057" s="4">
        <f>AVERAGE(D245:D256)</f>
        <v>27.32235</v>
      </c>
      <c r="E1057" s="4">
        <f>AVERAGE(E245:E256)</f>
        <v>119.77758026123041</v>
      </c>
    </row>
    <row r="1058" spans="1:5" ht="15">
      <c r="A1058" s="3">
        <v>2036</v>
      </c>
      <c r="B1058" s="4">
        <f>AVERAGE(B257:B268)</f>
        <v>21.143424999999997</v>
      </c>
      <c r="C1058" s="4">
        <f>AVERAGE(C257:C268)</f>
        <v>20.830924999999997</v>
      </c>
      <c r="D1058" s="4">
        <f>AVERAGE(D257:D268)</f>
        <v>27.960191666666663</v>
      </c>
      <c r="E1058" s="4">
        <f>AVERAGE(E257:E268)</f>
        <v>123.55057403945916</v>
      </c>
    </row>
    <row r="1059" spans="1:5" ht="15">
      <c r="A1059" s="3">
        <v>2037</v>
      </c>
      <c r="B1059" s="4">
        <f>AVERAGE(B269:B280)</f>
        <v>21.807850000000002</v>
      </c>
      <c r="C1059" s="4">
        <f>AVERAGE(C269:C280)</f>
        <v>21.495350000000002</v>
      </c>
      <c r="D1059" s="4">
        <f>AVERAGE(D269:D280)</f>
        <v>28.613841666666662</v>
      </c>
      <c r="E1059" s="4">
        <f>AVERAGE(E269:E280)</f>
        <v>127.44241712170223</v>
      </c>
    </row>
    <row r="1060" spans="1:5" ht="15">
      <c r="A1060" s="3">
        <f t="shared" ref="A1060:A1091" si="0">A1059+1</f>
        <v>2038</v>
      </c>
      <c r="B1060" s="4">
        <f>AVERAGE(B281:B292)</f>
        <v>22.495166666666666</v>
      </c>
      <c r="C1060" s="4">
        <f>AVERAGE(C281:C292)</f>
        <v>22.182666666666666</v>
      </c>
      <c r="D1060" s="4">
        <f>AVERAGE(D281:D292)</f>
        <v>29.2837</v>
      </c>
      <c r="E1060" s="4">
        <f>AVERAGE(E281:E292)</f>
        <v>131.45685326103583</v>
      </c>
    </row>
    <row r="1061" spans="1:5" ht="15">
      <c r="A1061" s="3">
        <f t="shared" si="0"/>
        <v>2039</v>
      </c>
      <c r="B1061" s="4">
        <f>AVERAGE(B293:B304)</f>
        <v>23.206225</v>
      </c>
      <c r="C1061" s="4">
        <f>AVERAGE(C293:C304)</f>
        <v>22.893725</v>
      </c>
      <c r="D1061" s="4">
        <f>AVERAGE(D293:D304)</f>
        <v>29.970183333333335</v>
      </c>
      <c r="E1061" s="4">
        <f>AVERAGE(E293:E304)</f>
        <v>135.5977441387584</v>
      </c>
    </row>
    <row r="1062" spans="1:5" ht="15">
      <c r="A1062" s="3">
        <f t="shared" si="0"/>
        <v>2040</v>
      </c>
      <c r="B1062" s="4">
        <f>AVERAGE(B305:B316)</f>
        <v>23.941800000000001</v>
      </c>
      <c r="C1062" s="4">
        <f>AVERAGE(C305:C316)</f>
        <v>23.629300000000001</v>
      </c>
      <c r="D1062" s="4">
        <f>AVERAGE(D305:D316)</f>
        <v>30.673674999999999</v>
      </c>
      <c r="E1062" s="4">
        <f>AVERAGE(E305:E316)</f>
        <v>139.86907307912915</v>
      </c>
    </row>
    <row r="1063" spans="1:5" ht="15">
      <c r="A1063" s="3">
        <f t="shared" si="0"/>
        <v>2041</v>
      </c>
      <c r="B1063" s="4">
        <f>AVERAGE(B317:B328)</f>
        <v>24.702783333333333</v>
      </c>
      <c r="C1063" s="4">
        <f>AVERAGE(C317:C328)</f>
        <v>24.390283333333333</v>
      </c>
      <c r="D1063" s="4">
        <f>AVERAGE(D317:D328)</f>
        <v>31.394616666666664</v>
      </c>
      <c r="E1063" s="4">
        <f>AVERAGE(E317:E328)</f>
        <v>144.2749488811219</v>
      </c>
    </row>
    <row r="1064" spans="1:5" ht="15">
      <c r="A1064" s="3">
        <f t="shared" si="0"/>
        <v>2042</v>
      </c>
      <c r="B1064" s="4">
        <f>AVERAGE(B329:B340)</f>
        <v>25.489966666666671</v>
      </c>
      <c r="C1064" s="4">
        <f>AVERAGE(C329:C340)</f>
        <v>25.177466666666671</v>
      </c>
      <c r="D1064" s="4">
        <f>AVERAGE(D329:D340)</f>
        <v>32.133449999999996</v>
      </c>
      <c r="E1064" s="4">
        <f>AVERAGE(E329:E340)</f>
        <v>148.81960977087732</v>
      </c>
    </row>
    <row r="1065" spans="1:5" ht="15">
      <c r="A1065" s="3">
        <f t="shared" si="0"/>
        <v>2043</v>
      </c>
      <c r="B1065" s="4">
        <f>AVERAGE(B341:B352)</f>
        <v>26.304333333333332</v>
      </c>
      <c r="C1065" s="4">
        <f>AVERAGE(C341:C352)</f>
        <v>25.991833333333332</v>
      </c>
      <c r="D1065" s="4">
        <f>AVERAGE(D341:D352)</f>
        <v>32.890599999999999</v>
      </c>
      <c r="E1065" s="4">
        <f>AVERAGE(E341:E352)</f>
        <v>153.50742747866002</v>
      </c>
    </row>
    <row r="1066" spans="1:5" ht="15">
      <c r="A1066" s="3">
        <f t="shared" si="0"/>
        <v>2044</v>
      </c>
      <c r="B1066" s="4">
        <f>AVERAGE(B353:B364)</f>
        <v>27.146808333333329</v>
      </c>
      <c r="C1066" s="4">
        <f>AVERAGE(C353:C364)</f>
        <v>26.834308333333329</v>
      </c>
      <c r="D1066" s="4">
        <f>AVERAGE(D353:D364)</f>
        <v>33.666516666666674</v>
      </c>
      <c r="E1066" s="4">
        <f>AVERAGE(E353:E364)</f>
        <v>158.34291144423784</v>
      </c>
    </row>
    <row r="1067" spans="1:5" ht="15">
      <c r="A1067" s="3">
        <f t="shared" si="0"/>
        <v>2045</v>
      </c>
      <c r="B1067" s="4">
        <f>AVERAGE(B365:B376)</f>
        <v>28.018350000000002</v>
      </c>
      <c r="C1067" s="4">
        <f>AVERAGE(C365:C376)</f>
        <v>27.705850000000002</v>
      </c>
      <c r="D1067" s="4">
        <f>AVERAGE(D365:D376)</f>
        <v>34.461675</v>
      </c>
      <c r="E1067" s="4">
        <f>AVERAGE(E365:E376)</f>
        <v>163.33071315473114</v>
      </c>
    </row>
    <row r="1068" spans="1:5" ht="15">
      <c r="A1068" s="3">
        <f t="shared" si="0"/>
        <v>2046</v>
      </c>
      <c r="B1068" s="4">
        <f>AVERAGE(B377:B388)</f>
        <v>28.919933333333333</v>
      </c>
      <c r="C1068" s="4">
        <f>AVERAGE(C377:C388)</f>
        <v>28.607433333333333</v>
      </c>
      <c r="D1068" s="4">
        <f>AVERAGE(D377:D388)</f>
        <v>35.276575000000001</v>
      </c>
      <c r="E1068" s="4">
        <f>AVERAGE(E377:E388)</f>
        <v>168.47563061910515</v>
      </c>
    </row>
    <row r="1069" spans="1:5" ht="15">
      <c r="A1069" s="3">
        <f t="shared" si="0"/>
        <v>2047</v>
      </c>
      <c r="B1069" s="4">
        <f>AVERAGE(B389:B400)</f>
        <v>29.852625</v>
      </c>
      <c r="C1069" s="4">
        <f>AVERAGE(C389:C400)</f>
        <v>29.540125</v>
      </c>
      <c r="D1069" s="4">
        <f>AVERAGE(D389:D400)</f>
        <v>36.111674999999998</v>
      </c>
      <c r="E1069" s="4">
        <f>AVERAGE(E389:E400)</f>
        <v>173.78261298360724</v>
      </c>
    </row>
    <row r="1070" spans="1:5" ht="15">
      <c r="A1070" s="3">
        <f t="shared" si="0"/>
        <v>2048</v>
      </c>
      <c r="B1070" s="4">
        <f>AVERAGE(B401:B412)</f>
        <v>30.817508333333336</v>
      </c>
      <c r="C1070" s="4">
        <f>AVERAGE(C401:C412)</f>
        <v>30.505008333333336</v>
      </c>
      <c r="D1070" s="4">
        <f>AVERAGE(D401:D412)</f>
        <v>36.967483333333334</v>
      </c>
      <c r="E1070" s="4">
        <f>AVERAGE(E401:E412)</f>
        <v>179.25676529259064</v>
      </c>
    </row>
    <row r="1071" spans="1:5" ht="15">
      <c r="A1071" s="3">
        <f t="shared" si="0"/>
        <v>2049</v>
      </c>
      <c r="B1071" s="4">
        <f>AVERAGE(B413:B424)</f>
        <v>31.815674999999999</v>
      </c>
      <c r="C1071" s="4">
        <f>AVERAGE(C413:C424)</f>
        <v>31.503174999999999</v>
      </c>
      <c r="D1071" s="4">
        <f>AVERAGE(D413:D424)</f>
        <v>37.844524999999997</v>
      </c>
      <c r="E1071" s="4">
        <f>AVERAGE(E413:E424)</f>
        <v>184.90335339930741</v>
      </c>
    </row>
    <row r="1072" spans="1:5" ht="15">
      <c r="A1072" s="3">
        <f t="shared" si="0"/>
        <v>2050</v>
      </c>
      <c r="B1072" s="4">
        <f>AVERAGE(B425:B436)</f>
        <v>32.848275000000001</v>
      </c>
      <c r="C1072" s="4">
        <f>AVERAGE(C425:C436)</f>
        <v>32.535775000000001</v>
      </c>
      <c r="D1072" s="4">
        <f>AVERAGE(D425:D436)</f>
        <v>38.743291666666671</v>
      </c>
      <c r="E1072" s="4">
        <f>AVERAGE(E425:E436)</f>
        <v>190.72780903138553</v>
      </c>
    </row>
    <row r="1073" spans="1:5" ht="15">
      <c r="A1073" s="3">
        <f t="shared" si="0"/>
        <v>2051</v>
      </c>
      <c r="B1073" s="4">
        <f>AVERAGE(B437:B448)</f>
        <v>33.91650833333334</v>
      </c>
      <c r="C1073" s="4">
        <f>AVERAGE(C437:C448)</f>
        <v>33.60400833333334</v>
      </c>
      <c r="D1073" s="4">
        <f>AVERAGE(D437:D448)</f>
        <v>39.664366666666666</v>
      </c>
      <c r="E1073" s="4">
        <f>AVERAGE(E437:E448)</f>
        <v>196.73573501587427</v>
      </c>
    </row>
    <row r="1074" spans="1:5" ht="15">
      <c r="A1074" s="3">
        <f t="shared" si="0"/>
        <v>2052</v>
      </c>
      <c r="B1074" s="4">
        <f>AVERAGE(B449:B460)</f>
        <v>35.021616666666667</v>
      </c>
      <c r="C1074" s="4">
        <f>AVERAGE(C449:C460)</f>
        <v>34.709116666666667</v>
      </c>
      <c r="D1074" s="4">
        <f>AVERAGE(D449:D460)</f>
        <v>40.608291666666666</v>
      </c>
      <c r="E1074" s="4">
        <f>AVERAGE(E449:E460)</f>
        <v>202.93291066887423</v>
      </c>
    </row>
    <row r="1075" spans="1:5" ht="15">
      <c r="A1075" s="3">
        <f t="shared" si="0"/>
        <v>2053</v>
      </c>
      <c r="B1075" s="4">
        <f>AVERAGE(B461:B472)</f>
        <v>36.164791666666673</v>
      </c>
      <c r="C1075" s="4">
        <f>AVERAGE(C461:C472)</f>
        <v>35.852291666666673</v>
      </c>
      <c r="D1075" s="4">
        <f>AVERAGE(D461:D472)</f>
        <v>41.575625000000002</v>
      </c>
      <c r="E1075" s="4">
        <f>AVERAGE(E461:E472)</f>
        <v>209.32529735494381</v>
      </c>
    </row>
    <row r="1076" spans="1:5" ht="15">
      <c r="A1076" s="3">
        <f t="shared" si="0"/>
        <v>2054</v>
      </c>
      <c r="B1076" s="4">
        <f>AVERAGE(B473:B484)</f>
        <v>37.347458333333336</v>
      </c>
      <c r="C1076" s="4">
        <f>AVERAGE(C473:C484)</f>
        <v>37.034958333333336</v>
      </c>
      <c r="D1076" s="4">
        <f>AVERAGE(D473:D484)</f>
        <v>42.566933333333331</v>
      </c>
      <c r="E1076" s="4">
        <f>AVERAGE(E473:E484)</f>
        <v>215.91904422162452</v>
      </c>
    </row>
    <row r="1077" spans="1:5" ht="15">
      <c r="A1077" s="3">
        <f t="shared" si="0"/>
        <v>2055</v>
      </c>
      <c r="B1077" s="4">
        <f>AVERAGE(B485:B496)</f>
        <v>38.570908333333342</v>
      </c>
      <c r="C1077" s="4">
        <f>AVERAGE(C485:C496)</f>
        <v>38.258408333333342</v>
      </c>
      <c r="D1077" s="4">
        <f>AVERAGE(D485:D496)</f>
        <v>43.582825000000007</v>
      </c>
      <c r="E1077" s="4">
        <f>AVERAGE(E485:E496)</f>
        <v>222.72049411460583</v>
      </c>
    </row>
    <row r="1078" spans="1:5" ht="15">
      <c r="A1078" s="3">
        <f t="shared" si="0"/>
        <v>2056</v>
      </c>
      <c r="B1078" s="4">
        <f>AVERAGE(B497:B508)</f>
        <v>39.836575000000011</v>
      </c>
      <c r="C1078" s="4">
        <f>AVERAGE(C497:C508)</f>
        <v>39.524075000000011</v>
      </c>
      <c r="D1078" s="4">
        <f>AVERAGE(D497:D508)</f>
        <v>44.623924999999993</v>
      </c>
      <c r="E1078" s="4">
        <f>AVERAGE(E497:E508)</f>
        <v>229.73618967921576</v>
      </c>
    </row>
    <row r="1079" spans="1:5" ht="15">
      <c r="A1079" s="3">
        <f t="shared" si="0"/>
        <v>2057</v>
      </c>
      <c r="B1079" s="4">
        <f>AVERAGE(B509:B520)</f>
        <v>41.145891666666671</v>
      </c>
      <c r="C1079" s="4">
        <f>AVERAGE(C509:C520)</f>
        <v>40.833391666666671</v>
      </c>
      <c r="D1079" s="4">
        <f>AVERAGE(D509:D520)</f>
        <v>45.690824999999997</v>
      </c>
      <c r="E1079" s="4">
        <f>AVERAGE(E509:E520)</f>
        <v>236.97287965411113</v>
      </c>
    </row>
    <row r="1080" spans="1:5" ht="15">
      <c r="A1080" s="3">
        <f t="shared" si="0"/>
        <v>2058</v>
      </c>
      <c r="B1080" s="4">
        <f>AVERAGE(B521:B532)</f>
        <v>42.50040833333334</v>
      </c>
      <c r="C1080" s="4">
        <f>AVERAGE(C521:C532)</f>
        <v>42.18790833333334</v>
      </c>
      <c r="D1080" s="4">
        <f>AVERAGE(D521:D532)</f>
        <v>46.784216666666673</v>
      </c>
      <c r="E1080" s="4">
        <f>AVERAGE(E521:E532)</f>
        <v>244.43752536321594</v>
      </c>
    </row>
    <row r="1081" spans="1:5" ht="15">
      <c r="A1081" s="3">
        <f t="shared" si="0"/>
        <v>2059</v>
      </c>
      <c r="B1081" s="4">
        <f>AVERAGE(B533:B544)</f>
        <v>43.901616666666662</v>
      </c>
      <c r="C1081" s="4">
        <f>AVERAGE(C533:C544)</f>
        <v>43.589116666666662</v>
      </c>
      <c r="D1081" s="4">
        <f>AVERAGE(D533:D544)</f>
        <v>47.904691666666672</v>
      </c>
      <c r="E1081" s="4">
        <f>AVERAGE(E533:E544)</f>
        <v>252.13730741215693</v>
      </c>
    </row>
    <row r="1082" spans="1:5" ht="15">
      <c r="A1082" s="3">
        <f t="shared" si="0"/>
        <v>2060</v>
      </c>
      <c r="B1082" s="4">
        <f>AVERAGE(B545:B556)</f>
        <v>45.351191666666672</v>
      </c>
      <c r="C1082" s="4">
        <f>AVERAGE(C545:C556)</f>
        <v>45.038691666666672</v>
      </c>
      <c r="D1082" s="4">
        <f>AVERAGE(D545:D556)</f>
        <v>49.052975000000004</v>
      </c>
      <c r="E1082" s="4">
        <f>AVERAGE(E545:E556)</f>
        <v>260.07963259564002</v>
      </c>
    </row>
    <row r="1083" spans="1:5" ht="15">
      <c r="A1083" s="3">
        <f t="shared" si="0"/>
        <v>2061</v>
      </c>
      <c r="B1083" s="4">
        <f>AVERAGE(B557:B568)</f>
        <v>46.850791666666659</v>
      </c>
      <c r="C1083" s="4">
        <f>AVERAGE(C557:C568)</f>
        <v>46.538291666666659</v>
      </c>
      <c r="D1083" s="4">
        <f>AVERAGE(D557:D568)</f>
        <v>50.229725000000002</v>
      </c>
      <c r="E1083" s="4">
        <f>AVERAGE(E557:E568)</f>
        <v>268.27214102240265</v>
      </c>
    </row>
    <row r="1084" spans="1:5" ht="15">
      <c r="A1084" s="3">
        <f t="shared" si="0"/>
        <v>2062</v>
      </c>
      <c r="B1084" s="4">
        <f t="shared" ref="B1084:E1103" ca="1" si="1">AVERAGE(OFFSET(B$569,($A1084-$A$1084)*12,0,12,1))</f>
        <v>48.402083333333337</v>
      </c>
      <c r="C1084" s="4">
        <f t="shared" ca="1" si="1"/>
        <v>48.089583333333337</v>
      </c>
      <c r="D1084" s="4">
        <f t="shared" ca="1" si="1"/>
        <v>51.435649999999988</v>
      </c>
      <c r="E1084" s="4">
        <f t="shared" ca="1" si="1"/>
        <v>276.72271346460849</v>
      </c>
    </row>
    <row r="1085" spans="1:5" ht="15">
      <c r="A1085" s="3">
        <f t="shared" si="0"/>
        <v>2063</v>
      </c>
      <c r="B1085" s="4">
        <f t="shared" ca="1" si="1"/>
        <v>50.006933333333336</v>
      </c>
      <c r="C1085" s="4">
        <f t="shared" ca="1" si="1"/>
        <v>49.694433333333336</v>
      </c>
      <c r="D1085" s="4">
        <f t="shared" ca="1" si="1"/>
        <v>52.671516666666669</v>
      </c>
      <c r="E1085" s="4">
        <f t="shared" ca="1" si="1"/>
        <v>285.43947893874349</v>
      </c>
    </row>
    <row r="1086" spans="1:5" ht="15">
      <c r="A1086" s="3">
        <f t="shared" si="0"/>
        <v>2064</v>
      </c>
      <c r="B1086" s="4">
        <f t="shared" ca="1" si="1"/>
        <v>51.667133333333332</v>
      </c>
      <c r="C1086" s="4">
        <f t="shared" ca="1" si="1"/>
        <v>51.354633333333332</v>
      </c>
      <c r="D1086" s="4">
        <f t="shared" ca="1" si="1"/>
        <v>53.938000000000009</v>
      </c>
      <c r="E1086" s="4">
        <f t="shared" ca="1" si="1"/>
        <v>294.43082252531411</v>
      </c>
    </row>
    <row r="1087" spans="1:5" ht="15">
      <c r="A1087" s="3">
        <f t="shared" si="0"/>
        <v>2065</v>
      </c>
      <c r="B1087" s="4">
        <f t="shared" ca="1" si="1"/>
        <v>53.384616666666666</v>
      </c>
      <c r="C1087" s="4">
        <f t="shared" ca="1" si="1"/>
        <v>53.072116666666666</v>
      </c>
      <c r="D1087" s="4">
        <f t="shared" ca="1" si="1"/>
        <v>55.235908333333327</v>
      </c>
      <c r="E1087" s="4">
        <f t="shared" ca="1" si="1"/>
        <v>303.70539343486149</v>
      </c>
    </row>
    <row r="1088" spans="1:5" ht="15">
      <c r="A1088" s="3">
        <f t="shared" si="0"/>
        <v>2066</v>
      </c>
      <c r="B1088" s="4">
        <f t="shared" ca="1" si="1"/>
        <v>55.161358333333332</v>
      </c>
      <c r="C1088" s="4">
        <f t="shared" ca="1" si="1"/>
        <v>54.848858333333332</v>
      </c>
      <c r="D1088" s="4">
        <f t="shared" ca="1" si="1"/>
        <v>56.565983333333328</v>
      </c>
      <c r="E1088" s="4">
        <f t="shared" ca="1" si="1"/>
        <v>313.27211332805956</v>
      </c>
    </row>
    <row r="1089" spans="1:5" ht="15">
      <c r="A1089" s="3">
        <f t="shared" si="0"/>
        <v>2067</v>
      </c>
      <c r="B1089" s="4">
        <f t="shared" ca="1" si="1"/>
        <v>56.999358333333333</v>
      </c>
      <c r="C1089" s="4">
        <f t="shared" ca="1" si="1"/>
        <v>56.686858333333333</v>
      </c>
      <c r="D1089" s="4">
        <f t="shared" ca="1" si="1"/>
        <v>57.929049999999997</v>
      </c>
      <c r="E1089" s="4">
        <f t="shared" ca="1" si="1"/>
        <v>323.14018489789345</v>
      </c>
    </row>
    <row r="1090" spans="1:5" ht="15">
      <c r="A1090" s="3">
        <f t="shared" si="0"/>
        <v>2068</v>
      </c>
      <c r="B1090" s="4">
        <f t="shared" ca="1" si="1"/>
        <v>58.900808333333323</v>
      </c>
      <c r="C1090" s="4">
        <f t="shared" ca="1" si="1"/>
        <v>58.588308333333323</v>
      </c>
      <c r="D1090" s="4">
        <f t="shared" ca="1" si="1"/>
        <v>59.325933333333332</v>
      </c>
      <c r="E1090" s="4">
        <f t="shared" ca="1" si="1"/>
        <v>333.3191007221771</v>
      </c>
    </row>
    <row r="1091" spans="1:5" ht="15">
      <c r="A1091" s="3">
        <f t="shared" si="0"/>
        <v>2069</v>
      </c>
      <c r="B1091" s="4">
        <f t="shared" ca="1" si="1"/>
        <v>60.867858333333345</v>
      </c>
      <c r="C1091" s="4">
        <f t="shared" ca="1" si="1"/>
        <v>60.555358333333345</v>
      </c>
      <c r="D1091" s="4">
        <f t="shared" ca="1" si="1"/>
        <v>60.757433333333331</v>
      </c>
      <c r="E1091" s="4">
        <f t="shared" ca="1" si="1"/>
        <v>343.81865239492572</v>
      </c>
    </row>
    <row r="1092" spans="1:5" ht="15">
      <c r="A1092" s="3">
        <f t="shared" ref="A1092:A1122" si="2">A1091+1</f>
        <v>2070</v>
      </c>
      <c r="B1092" s="4">
        <f t="shared" ca="1" si="1"/>
        <v>62.902783333333339</v>
      </c>
      <c r="C1092" s="4">
        <f t="shared" ca="1" si="1"/>
        <v>62.590283333333339</v>
      </c>
      <c r="D1092" s="4">
        <f t="shared" ca="1" si="1"/>
        <v>62.224458333333338</v>
      </c>
      <c r="E1092" s="4">
        <f t="shared" ca="1" si="1"/>
        <v>354.64893994536595</v>
      </c>
    </row>
    <row r="1093" spans="1:5" ht="15">
      <c r="A1093" s="3">
        <f t="shared" si="2"/>
        <v>2071</v>
      </c>
      <c r="B1093" s="4">
        <f t="shared" ca="1" si="1"/>
        <v>65.007866666666658</v>
      </c>
      <c r="C1093" s="4">
        <f t="shared" ca="1" si="1"/>
        <v>64.695366666666658</v>
      </c>
      <c r="D1093" s="4">
        <f t="shared" ca="1" si="1"/>
        <v>63.727883333333331</v>
      </c>
      <c r="E1093" s="4">
        <f t="shared" ca="1" si="1"/>
        <v>365.82038155364506</v>
      </c>
    </row>
    <row r="1094" spans="1:5" ht="15">
      <c r="A1094" s="3">
        <f t="shared" si="2"/>
        <v>2072</v>
      </c>
      <c r="B1094" s="4">
        <f t="shared" ca="1" si="1"/>
        <v>67.18559999999998</v>
      </c>
      <c r="C1094" s="4">
        <f t="shared" ca="1" si="1"/>
        <v>66.87309999999998</v>
      </c>
      <c r="D1094" s="4">
        <f t="shared" ca="1" si="1"/>
        <v>65.268575000000013</v>
      </c>
      <c r="E1094" s="4">
        <f t="shared" ca="1" si="1"/>
        <v>377.34372357258491</v>
      </c>
    </row>
    <row r="1095" spans="1:5" ht="15">
      <c r="A1095" s="3">
        <f t="shared" si="2"/>
        <v>2073</v>
      </c>
      <c r="B1095" s="4">
        <f t="shared" ca="1" si="1"/>
        <v>69.438474999999997</v>
      </c>
      <c r="C1095" s="4">
        <f t="shared" ca="1" si="1"/>
        <v>69.125974999999997</v>
      </c>
      <c r="D1095" s="4">
        <f t="shared" ca="1" si="1"/>
        <v>66.847474999999989</v>
      </c>
      <c r="E1095" s="4">
        <f t="shared" ca="1" si="1"/>
        <v>389.23005086512126</v>
      </c>
    </row>
    <row r="1096" spans="1:5" ht="15">
      <c r="A1096" s="3">
        <f t="shared" si="2"/>
        <v>2074</v>
      </c>
      <c r="B1096" s="4">
        <f t="shared" ca="1" si="1"/>
        <v>71.769091666666668</v>
      </c>
      <c r="C1096" s="4">
        <f t="shared" ca="1" si="1"/>
        <v>71.456591666666668</v>
      </c>
      <c r="D1096" s="4">
        <f t="shared" ca="1" si="1"/>
        <v>68.46553333333334</v>
      </c>
      <c r="E1096" s="4">
        <f t="shared" ca="1" si="1"/>
        <v>401.49079746737272</v>
      </c>
    </row>
    <row r="1097" spans="1:5" ht="15">
      <c r="A1097" s="3">
        <f t="shared" si="2"/>
        <v>2075</v>
      </c>
      <c r="B1097" s="4">
        <f t="shared" ca="1" si="1"/>
        <v>74.180091666666684</v>
      </c>
      <c r="C1097" s="4">
        <f t="shared" ca="1" si="1"/>
        <v>73.867591666666684</v>
      </c>
      <c r="D1097" s="4">
        <f t="shared" ca="1" si="1"/>
        <v>70.123716666666681</v>
      </c>
      <c r="E1097" s="4">
        <f t="shared" ca="1" si="1"/>
        <v>414.13775758759488</v>
      </c>
    </row>
    <row r="1098" spans="1:5" ht="15">
      <c r="A1098" s="3">
        <f t="shared" si="2"/>
        <v>2076</v>
      </c>
      <c r="B1098" s="4">
        <f t="shared" ca="1" si="1"/>
        <v>76.674249999999986</v>
      </c>
      <c r="C1098" s="4">
        <f t="shared" ca="1" si="1"/>
        <v>76.361749999999986</v>
      </c>
      <c r="D1098" s="4">
        <f t="shared" ca="1" si="1"/>
        <v>71.823025000000015</v>
      </c>
      <c r="E1098" s="4">
        <f t="shared" ca="1" si="1"/>
        <v>427.18309695160406</v>
      </c>
    </row>
    <row r="1099" spans="1:5" ht="15">
      <c r="A1099" s="3">
        <f t="shared" si="2"/>
        <v>2077</v>
      </c>
      <c r="B1099" s="4">
        <f t="shared" ca="1" si="1"/>
        <v>79.254466666666659</v>
      </c>
      <c r="C1099" s="4">
        <f t="shared" ca="1" si="1"/>
        <v>78.941966666666659</v>
      </c>
      <c r="D1099" s="4">
        <f t="shared" ca="1" si="1"/>
        <v>73.564483333333328</v>
      </c>
      <c r="E1099" s="4">
        <f t="shared" ca="1" si="1"/>
        <v>440.63936450557998</v>
      </c>
    </row>
    <row r="1100" spans="1:5" ht="15">
      <c r="A1100" s="3">
        <f t="shared" si="2"/>
        <v>2078</v>
      </c>
      <c r="B1100" s="4">
        <f t="shared" ca="1" si="1"/>
        <v>81.92372499999999</v>
      </c>
      <c r="C1100" s="4">
        <f t="shared" ca="1" si="1"/>
        <v>81.61122499999999</v>
      </c>
      <c r="D1100" s="4">
        <f t="shared" ca="1" si="1"/>
        <v>75.349108333333348</v>
      </c>
      <c r="E1100" s="4">
        <f t="shared" ca="1" si="1"/>
        <v>454.5195044875054</v>
      </c>
    </row>
    <row r="1101" spans="1:5" ht="15">
      <c r="A1101" s="3">
        <f t="shared" si="2"/>
        <v>2079</v>
      </c>
      <c r="B1101" s="4">
        <f t="shared" ca="1" si="1"/>
        <v>84.685058333333316</v>
      </c>
      <c r="C1101" s="4">
        <f t="shared" ca="1" si="1"/>
        <v>84.372558333333316</v>
      </c>
      <c r="D1101" s="4">
        <f t="shared" ca="1" si="1"/>
        <v>77.178000000000011</v>
      </c>
      <c r="E1101" s="4">
        <f t="shared" ca="1" si="1"/>
        <v>468.83686887886205</v>
      </c>
    </row>
    <row r="1102" spans="1:5" ht="15">
      <c r="A1102" s="3">
        <f t="shared" si="2"/>
        <v>2080</v>
      </c>
      <c r="B1102" s="4">
        <f t="shared" ca="1" si="1"/>
        <v>87.541641666666649</v>
      </c>
      <c r="C1102" s="4">
        <f t="shared" ca="1" si="1"/>
        <v>87.229141666666649</v>
      </c>
      <c r="D1102" s="4">
        <f t="shared" ca="1" si="1"/>
        <v>79.052250000000001</v>
      </c>
      <c r="E1102" s="4">
        <f t="shared" ca="1" si="1"/>
        <v>483.60523024854655</v>
      </c>
    </row>
    <row r="1103" spans="1:5" ht="15">
      <c r="A1103" s="3">
        <f t="shared" si="2"/>
        <v>2081</v>
      </c>
      <c r="B1103" s="4">
        <f t="shared" ca="1" si="1"/>
        <v>90.49680833333332</v>
      </c>
      <c r="C1103" s="4">
        <f t="shared" ca="1" si="1"/>
        <v>90.18430833333332</v>
      </c>
      <c r="D1103" s="4">
        <f t="shared" ca="1" si="1"/>
        <v>80.972991666666658</v>
      </c>
      <c r="E1103" s="4">
        <f t="shared" ca="1" si="1"/>
        <v>498.8387950013755</v>
      </c>
    </row>
    <row r="1104" spans="1:5" ht="15">
      <c r="A1104" s="3">
        <f t="shared" si="2"/>
        <v>2082</v>
      </c>
      <c r="B1104" s="4">
        <f t="shared" ref="B1104:E1122" ca="1" si="3">AVERAGE(OFFSET(B$569,($A1104-$A$1084)*12,0,12,1))</f>
        <v>93.553908333333325</v>
      </c>
      <c r="C1104" s="4">
        <f t="shared" ca="1" si="3"/>
        <v>93.241408333333325</v>
      </c>
      <c r="D1104" s="4">
        <f t="shared" ca="1" si="3"/>
        <v>82.941358333333326</v>
      </c>
      <c r="E1104" s="4">
        <f t="shared" ca="1" si="3"/>
        <v>514.55221704391886</v>
      </c>
    </row>
    <row r="1105" spans="1:5" ht="15">
      <c r="A1105" s="3">
        <f t="shared" si="2"/>
        <v>2083</v>
      </c>
      <c r="B1105" s="4">
        <f t="shared" ca="1" si="3"/>
        <v>96.716475000000003</v>
      </c>
      <c r="C1105" s="4">
        <f t="shared" ca="1" si="3"/>
        <v>96.403975000000003</v>
      </c>
      <c r="D1105" s="4">
        <f t="shared" ca="1" si="3"/>
        <v>84.958550000000002</v>
      </c>
      <c r="E1105" s="4">
        <f t="shared" ca="1" si="3"/>
        <v>530.76061188080246</v>
      </c>
    </row>
    <row r="1106" spans="1:5" ht="15">
      <c r="A1106" s="3">
        <f t="shared" si="2"/>
        <v>2084</v>
      </c>
      <c r="B1106" s="4">
        <f t="shared" ca="1" si="3"/>
        <v>99.988174999999998</v>
      </c>
      <c r="C1106" s="4">
        <f t="shared" ca="1" si="3"/>
        <v>99.675674999999998</v>
      </c>
      <c r="D1106" s="4">
        <f t="shared" ca="1" si="3"/>
        <v>87.025758333333329</v>
      </c>
      <c r="E1106" s="4">
        <f t="shared" ca="1" si="3"/>
        <v>547.47957115504789</v>
      </c>
    </row>
    <row r="1107" spans="1:5" ht="15">
      <c r="A1107" s="3">
        <f t="shared" si="2"/>
        <v>2085</v>
      </c>
      <c r="B1107" s="4">
        <f t="shared" ca="1" si="3"/>
        <v>103.37272499999999</v>
      </c>
      <c r="C1107" s="4">
        <f t="shared" ca="1" si="3"/>
        <v>103.06022499999999</v>
      </c>
      <c r="D1107" s="4">
        <f t="shared" ca="1" si="3"/>
        <v>89.144225000000006</v>
      </c>
      <c r="E1107" s="4">
        <f t="shared" ca="1" si="3"/>
        <v>564.72517764643169</v>
      </c>
    </row>
    <row r="1108" spans="1:5" ht="15">
      <c r="A1108" s="3">
        <f t="shared" si="2"/>
        <v>2086</v>
      </c>
      <c r="B1108" s="4">
        <f t="shared" ca="1" si="3"/>
        <v>106.87405000000001</v>
      </c>
      <c r="C1108" s="4">
        <f t="shared" ca="1" si="3"/>
        <v>106.56155000000001</v>
      </c>
      <c r="D1108" s="4">
        <f t="shared" ca="1" si="3"/>
        <v>91.315241666666665</v>
      </c>
      <c r="E1108" s="4">
        <f t="shared" ca="1" si="3"/>
        <v>582.51402074229452</v>
      </c>
    </row>
    <row r="1109" spans="1:5" ht="15">
      <c r="A1109" s="3">
        <f t="shared" si="2"/>
        <v>2087</v>
      </c>
      <c r="B1109" s="4">
        <f t="shared" ca="1" si="3"/>
        <v>110.49617499999999</v>
      </c>
      <c r="C1109" s="4">
        <f t="shared" ca="1" si="3"/>
        <v>110.18367499999999</v>
      </c>
      <c r="D1109" s="4">
        <f t="shared" ca="1" si="3"/>
        <v>93.54010000000001</v>
      </c>
      <c r="E1109" s="4">
        <f t="shared" ca="1" si="3"/>
        <v>600.86321239567678</v>
      </c>
    </row>
    <row r="1110" spans="1:5" ht="15">
      <c r="A1110" s="3">
        <f t="shared" si="2"/>
        <v>2088</v>
      </c>
      <c r="B1110" s="4">
        <f t="shared" ca="1" si="3"/>
        <v>114.24324166666666</v>
      </c>
      <c r="C1110" s="4">
        <f t="shared" ca="1" si="3"/>
        <v>113.93074166666666</v>
      </c>
      <c r="D1110" s="4">
        <f t="shared" ca="1" si="3"/>
        <v>95.820149999999998</v>
      </c>
      <c r="E1110" s="4">
        <f t="shared" ca="1" si="3"/>
        <v>619.79040358614066</v>
      </c>
    </row>
    <row r="1111" spans="1:5" ht="15">
      <c r="A1111" s="3">
        <f t="shared" si="2"/>
        <v>2089</v>
      </c>
      <c r="B1111" s="4">
        <f t="shared" ca="1" si="3"/>
        <v>118.11959999999998</v>
      </c>
      <c r="C1111" s="4">
        <f t="shared" ca="1" si="3"/>
        <v>117.80709999999998</v>
      </c>
      <c r="D1111" s="4">
        <f t="shared" ca="1" si="3"/>
        <v>98.156716666666682</v>
      </c>
      <c r="E1111" s="4">
        <f t="shared" ca="1" si="3"/>
        <v>639.31380129910417</v>
      </c>
    </row>
    <row r="1112" spans="1:5" ht="15">
      <c r="A1112" s="3">
        <f t="shared" si="2"/>
        <v>2090</v>
      </c>
      <c r="B1112" s="4">
        <f t="shared" ca="1" si="3"/>
        <v>122.1297</v>
      </c>
      <c r="C1112" s="4">
        <f t="shared" ca="1" si="3"/>
        <v>121.8172</v>
      </c>
      <c r="D1112" s="4">
        <f t="shared" ca="1" si="3"/>
        <v>100.55123333333334</v>
      </c>
      <c r="E1112" s="4">
        <f t="shared" ca="1" si="3"/>
        <v>659.45218604002605</v>
      </c>
    </row>
    <row r="1113" spans="1:5" ht="15">
      <c r="A1113" s="3">
        <f t="shared" si="2"/>
        <v>2091</v>
      </c>
      <c r="B1113" s="4">
        <f t="shared" ca="1" si="3"/>
        <v>126.278125</v>
      </c>
      <c r="C1113" s="4">
        <f t="shared" ca="1" si="3"/>
        <v>125.965625</v>
      </c>
      <c r="D1113" s="4">
        <f t="shared" ca="1" si="3"/>
        <v>103.00515833333333</v>
      </c>
      <c r="E1113" s="4">
        <f t="shared" ca="1" si="3"/>
        <v>680.22492990028695</v>
      </c>
    </row>
    <row r="1114" spans="1:5" ht="15">
      <c r="A1114" s="3">
        <f t="shared" si="2"/>
        <v>2092</v>
      </c>
      <c r="B1114" s="4">
        <f t="shared" ca="1" si="3"/>
        <v>130.5696833333333</v>
      </c>
      <c r="C1114" s="4">
        <f t="shared" ca="1" si="3"/>
        <v>130.2571833333333</v>
      </c>
      <c r="D1114" s="4">
        <f t="shared" ca="1" si="3"/>
        <v>105.51990000000001</v>
      </c>
      <c r="E1114" s="4">
        <f t="shared" ca="1" si="3"/>
        <v>701.65201519214622</v>
      </c>
    </row>
    <row r="1115" spans="1:5" ht="15">
      <c r="A1115" s="3">
        <f t="shared" si="2"/>
        <v>2093</v>
      </c>
      <c r="B1115" s="4">
        <f t="shared" ca="1" si="3"/>
        <v>135.00932500000002</v>
      </c>
      <c r="C1115" s="4">
        <f t="shared" ca="1" si="3"/>
        <v>134.69682500000002</v>
      </c>
      <c r="D1115" s="4">
        <f t="shared" ca="1" si="3"/>
        <v>108.09704999999998</v>
      </c>
      <c r="E1115" s="4">
        <f t="shared" ca="1" si="3"/>
        <v>723.7540536706988</v>
      </c>
    </row>
    <row r="1116" spans="1:5" ht="15">
      <c r="A1116" s="3">
        <f t="shared" si="2"/>
        <v>2094</v>
      </c>
      <c r="B1116" s="4">
        <f t="shared" ca="1" si="3"/>
        <v>139.60209166666667</v>
      </c>
      <c r="C1116" s="4">
        <f t="shared" ca="1" si="3"/>
        <v>139.28959166666667</v>
      </c>
      <c r="D1116" s="4">
        <f t="shared" ca="1" si="3"/>
        <v>110.73809166666665</v>
      </c>
      <c r="E1116" s="4">
        <f t="shared" ca="1" si="3"/>
        <v>746.5523063613258</v>
      </c>
    </row>
    <row r="1117" spans="1:5" ht="15">
      <c r="A1117" s="3">
        <f t="shared" si="2"/>
        <v>2095</v>
      </c>
      <c r="B1117" s="4">
        <f t="shared" ca="1" si="3"/>
        <v>144.35330833333333</v>
      </c>
      <c r="C1117" s="4">
        <f t="shared" ca="1" si="3"/>
        <v>144.04080833333333</v>
      </c>
      <c r="D1117" s="4">
        <f t="shared" ca="1" si="3"/>
        <v>113.44464166666666</v>
      </c>
      <c r="E1117" s="4">
        <f t="shared" ca="1" si="3"/>
        <v>770.06870401170784</v>
      </c>
    </row>
    <row r="1118" spans="1:5" ht="15">
      <c r="A1118" s="3">
        <f t="shared" si="2"/>
        <v>2096</v>
      </c>
      <c r="B1118" s="4">
        <f t="shared" ca="1" si="3"/>
        <v>149.2684916666667</v>
      </c>
      <c r="C1118" s="4">
        <f t="shared" ca="1" si="3"/>
        <v>148.9559916666667</v>
      </c>
      <c r="D1118" s="4">
        <f t="shared" ca="1" si="3"/>
        <v>116.21830833333333</v>
      </c>
      <c r="E1118" s="4">
        <f t="shared" ca="1" si="3"/>
        <v>794.32586818807647</v>
      </c>
    </row>
    <row r="1119" spans="1:5" ht="15">
      <c r="A1119" s="3">
        <f t="shared" si="2"/>
        <v>2097</v>
      </c>
      <c r="B1119" s="4">
        <f t="shared" ca="1" si="3"/>
        <v>154.35321666666667</v>
      </c>
      <c r="C1119" s="4">
        <f t="shared" ca="1" si="3"/>
        <v>154.04071666666667</v>
      </c>
      <c r="D1119" s="4">
        <f t="shared" ca="1" si="3"/>
        <v>119.06075833333334</v>
      </c>
      <c r="E1119" s="4">
        <f t="shared" ca="1" si="3"/>
        <v>819.3471330360012</v>
      </c>
    </row>
    <row r="1120" spans="1:5" ht="15">
      <c r="A1120" s="3">
        <f t="shared" si="2"/>
        <v>2098</v>
      </c>
      <c r="B1120" s="4">
        <f t="shared" ca="1" si="3"/>
        <v>159.61336666666668</v>
      </c>
      <c r="C1120" s="4">
        <f t="shared" ca="1" si="3"/>
        <v>159.30086666666668</v>
      </c>
      <c r="D1120" s="4">
        <f t="shared" ca="1" si="3"/>
        <v>121.973725</v>
      </c>
      <c r="E1120" s="4">
        <f t="shared" ca="1" si="3"/>
        <v>845.15656772663522</v>
      </c>
    </row>
    <row r="1121" spans="1:5" ht="15">
      <c r="A1121" s="3">
        <f t="shared" si="2"/>
        <v>2099</v>
      </c>
      <c r="B1121" s="4">
        <f t="shared" ca="1" si="3"/>
        <v>165.05498333333333</v>
      </c>
      <c r="C1121" s="4">
        <f t="shared" ca="1" si="3"/>
        <v>164.74248333333333</v>
      </c>
      <c r="D1121" s="4">
        <f t="shared" ca="1" si="3"/>
        <v>124.95887499999999</v>
      </c>
      <c r="E1121" s="4">
        <f t="shared" ca="1" si="3"/>
        <v>871.77899961002402</v>
      </c>
    </row>
    <row r="1122" spans="1:5" ht="15">
      <c r="A1122" s="3">
        <f t="shared" si="2"/>
        <v>2100</v>
      </c>
      <c r="B1122" s="4">
        <f t="shared" ca="1" si="3"/>
        <v>170.68435000000002</v>
      </c>
      <c r="C1122" s="4">
        <f t="shared" ca="1" si="3"/>
        <v>170.37185000000002</v>
      </c>
      <c r="D1122" s="4">
        <f t="shared" ca="1" si="3"/>
        <v>128.01811666666666</v>
      </c>
      <c r="E1122" s="4">
        <f t="shared" ca="1" si="3"/>
        <v>899.24003809774001</v>
      </c>
    </row>
    <row r="1123" spans="1:5">
      <c r="A1123" s="29"/>
    </row>
    <row r="1124" spans="1:5">
      <c r="A1124" s="29"/>
    </row>
    <row r="1125" spans="1:5">
      <c r="A1125" s="29"/>
    </row>
    <row r="1126" spans="1:5">
      <c r="A1126" s="29"/>
    </row>
    <row r="1127" spans="1:5">
      <c r="A1127" s="29"/>
    </row>
    <row r="1128" spans="1:5">
      <c r="A1128" s="29"/>
    </row>
    <row r="1129" spans="1:5">
      <c r="A1129" s="29"/>
    </row>
    <row r="1130" spans="1:5">
      <c r="A1130" s="29"/>
    </row>
    <row r="1131" spans="1:5">
      <c r="A1131" s="29"/>
    </row>
    <row r="1132" spans="1:5">
      <c r="A1132" s="29"/>
    </row>
    <row r="1133" spans="1:5">
      <c r="A1133" s="29"/>
    </row>
    <row r="1134" spans="1:5">
      <c r="A1134" s="29"/>
    </row>
    <row r="1135" spans="1:5">
      <c r="A1135" s="29"/>
    </row>
    <row r="1136" spans="1:5">
      <c r="A1136" s="29"/>
    </row>
    <row r="1137" spans="1:1">
      <c r="A1137" s="29"/>
    </row>
    <row r="1138" spans="1:1">
      <c r="A1138" s="29"/>
    </row>
    <row r="1139" spans="1:1">
      <c r="A1139" s="29"/>
    </row>
    <row r="1140" spans="1:1">
      <c r="A1140" s="29"/>
    </row>
    <row r="1141" spans="1:1">
      <c r="A1141" s="29"/>
    </row>
    <row r="1142" spans="1:1">
      <c r="A1142" s="29"/>
    </row>
  </sheetData>
  <mergeCells count="1">
    <mergeCell ref="B14:C14"/>
  </mergeCells>
  <pageMargins left="0.25" right="0.25" top="0.5" bottom="0.5" header="0.25" footer="0.25"/>
  <pageSetup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22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14.5546875" style="29" customWidth="1"/>
    <col min="2" max="2" width="19" style="29" customWidth="1"/>
    <col min="3" max="3" width="16.109375" style="29" customWidth="1"/>
    <col min="4" max="4" width="20.21875" style="29" customWidth="1"/>
    <col min="5" max="5" width="20.6640625" style="29" customWidth="1"/>
    <col min="6" max="6" width="16.109375" style="29" customWidth="1"/>
    <col min="7" max="9" width="20" style="29" customWidth="1"/>
    <col min="10" max="11" width="19.109375" style="29" customWidth="1"/>
    <col min="12" max="12" width="16.109375" style="29" customWidth="1"/>
    <col min="13" max="15" width="17.6640625" style="29" customWidth="1"/>
    <col min="16" max="16384" width="7.109375" style="29"/>
  </cols>
  <sheetData>
    <row r="1" spans="1:15" ht="15.75">
      <c r="A1" s="81" t="s">
        <v>64</v>
      </c>
    </row>
    <row r="2" spans="1:15" ht="15.75">
      <c r="A2" s="81" t="s">
        <v>65</v>
      </c>
    </row>
    <row r="3" spans="1:15" ht="15.75">
      <c r="A3" s="81" t="s">
        <v>66</v>
      </c>
    </row>
    <row r="4" spans="1:15" ht="15.75">
      <c r="A4" s="81" t="s">
        <v>67</v>
      </c>
    </row>
    <row r="5" spans="1:15" ht="15.75">
      <c r="A5" s="81" t="s">
        <v>69</v>
      </c>
    </row>
    <row r="6" spans="1:15" ht="15.75">
      <c r="A6" s="81" t="s">
        <v>72</v>
      </c>
    </row>
    <row r="9" spans="1:15" ht="15" customHeight="1">
      <c r="A9" s="71" t="s">
        <v>25</v>
      </c>
    </row>
    <row r="10" spans="1:15" ht="15" customHeight="1">
      <c r="A10" s="72"/>
    </row>
    <row r="11" spans="1:15" ht="15" customHeight="1">
      <c r="A11" s="72"/>
    </row>
    <row r="12" spans="1:15" ht="15" customHeight="1">
      <c r="B12" s="71"/>
      <c r="H12" s="68" t="s">
        <v>51</v>
      </c>
    </row>
    <row r="13" spans="1:15" ht="15" customHeight="1">
      <c r="A13" s="71"/>
      <c r="B13" s="70" t="s">
        <v>24</v>
      </c>
      <c r="C13" s="69">
        <f>1-0.14</f>
        <v>0.86</v>
      </c>
      <c r="D13" s="70" t="s">
        <v>23</v>
      </c>
      <c r="E13" s="69">
        <f>1+0.14</f>
        <v>1.1400000000000001</v>
      </c>
      <c r="H13" s="68"/>
      <c r="L13" s="86"/>
      <c r="M13" s="86"/>
      <c r="N13" s="86"/>
      <c r="O13" s="86"/>
    </row>
    <row r="14" spans="1:15" ht="15" customHeight="1">
      <c r="B14" s="85" t="s">
        <v>50</v>
      </c>
      <c r="C14" s="85"/>
      <c r="D14" s="85"/>
      <c r="E14" s="87" t="s">
        <v>49</v>
      </c>
      <c r="F14" s="87"/>
      <c r="G14" s="88"/>
      <c r="H14" s="89" t="s">
        <v>48</v>
      </c>
      <c r="I14" s="89"/>
      <c r="J14" s="88" t="s">
        <v>47</v>
      </c>
      <c r="K14" s="88"/>
      <c r="L14" s="86"/>
      <c r="M14" s="86"/>
      <c r="N14" s="86"/>
      <c r="O14" s="86"/>
    </row>
    <row r="15" spans="1:15" ht="63">
      <c r="B15" s="67" t="s">
        <v>46</v>
      </c>
      <c r="C15" s="66" t="s">
        <v>45</v>
      </c>
      <c r="D15" s="65" t="s">
        <v>44</v>
      </c>
      <c r="E15" s="67" t="s">
        <v>46</v>
      </c>
      <c r="F15" s="66" t="s">
        <v>45</v>
      </c>
      <c r="G15" s="65" t="s">
        <v>44</v>
      </c>
      <c r="H15" s="66" t="s">
        <v>45</v>
      </c>
      <c r="I15" s="65" t="s">
        <v>44</v>
      </c>
      <c r="J15" s="66" t="s">
        <v>45</v>
      </c>
      <c r="K15" s="65" t="s">
        <v>44</v>
      </c>
      <c r="L15" s="57"/>
      <c r="M15" s="64"/>
      <c r="N15" s="64"/>
      <c r="O15" s="64"/>
    </row>
    <row r="16" spans="1:15" ht="20.25">
      <c r="A16" s="21" t="s">
        <v>2</v>
      </c>
      <c r="B16" s="63" t="s">
        <v>1</v>
      </c>
      <c r="C16" s="63" t="s">
        <v>1</v>
      </c>
      <c r="D16" s="63" t="s">
        <v>1</v>
      </c>
      <c r="E16" s="63" t="s">
        <v>1</v>
      </c>
      <c r="F16" s="63" t="s">
        <v>1</v>
      </c>
      <c r="G16" s="63" t="s">
        <v>1</v>
      </c>
      <c r="H16" s="63" t="s">
        <v>1</v>
      </c>
      <c r="I16" s="63" t="s">
        <v>1</v>
      </c>
      <c r="J16" s="63" t="s">
        <v>1</v>
      </c>
      <c r="K16" s="63" t="s">
        <v>1</v>
      </c>
      <c r="L16" s="62"/>
      <c r="M16" s="62"/>
      <c r="N16" s="62"/>
      <c r="O16" s="62"/>
    </row>
    <row r="17" spans="1:14" ht="15">
      <c r="A17" s="13">
        <v>42370</v>
      </c>
      <c r="B17" s="60">
        <f>2.3101 * CHOOSE(CONTROL!$C$19, $C$13, 100%, $E$13)</f>
        <v>2.3100999999999998</v>
      </c>
      <c r="C17" s="60">
        <f>2.3101 * CHOOSE(CONTROL!$C$19, $C$13, 100%, $E$13)</f>
        <v>2.3100999999999998</v>
      </c>
      <c r="D17" s="60">
        <f>2.3253 * CHOOSE(CONTROL!$C$19, $C$13, 100%, $E$13)</f>
        <v>2.3252999999999999</v>
      </c>
      <c r="E17" s="61">
        <f>2.073 * CHOOSE(CONTROL!$C$19, $C$13, 100%, $E$13)</f>
        <v>2.073</v>
      </c>
      <c r="F17" s="61">
        <f>2.073 * CHOOSE(CONTROL!$C$19, $C$13, 100%, $E$13)</f>
        <v>2.073</v>
      </c>
      <c r="G17" s="61">
        <f>2.0732 * CHOOSE(CONTROL!$C$19, $C$13, 100%, $E$13)</f>
        <v>2.0731999999999999</v>
      </c>
      <c r="H17" s="61">
        <f>5.16* CHOOSE(CONTROL!$C$19, $C$13, 100%, $E$13)</f>
        <v>5.16</v>
      </c>
      <c r="I17" s="61">
        <f>5.1602 * CHOOSE(CONTROL!$C$19, $C$13, 100%, $E$13)</f>
        <v>5.1601999999999997</v>
      </c>
      <c r="J17" s="61">
        <f>2.073 * CHOOSE(CONTROL!$C$19, $C$13, 100%, $E$13)</f>
        <v>2.073</v>
      </c>
      <c r="K17" s="61">
        <f>2.0732 * CHOOSE(CONTROL!$C$19, $C$13, 100%, $E$13)</f>
        <v>2.0731999999999999</v>
      </c>
      <c r="L17" s="4"/>
      <c r="M17" s="61"/>
      <c r="N17" s="61"/>
    </row>
    <row r="18" spans="1:14" ht="15">
      <c r="A18" s="13">
        <v>42401</v>
      </c>
      <c r="B18" s="60">
        <f>2.2919 * CHOOSE(CONTROL!$C$19, $C$13, 100%, $E$13)</f>
        <v>2.2919</v>
      </c>
      <c r="C18" s="60">
        <f>2.2919 * CHOOSE(CONTROL!$C$19, $C$13, 100%, $E$13)</f>
        <v>2.2919</v>
      </c>
      <c r="D18" s="60">
        <f>2.307 * CHOOSE(CONTROL!$C$19, $C$13, 100%, $E$13)</f>
        <v>2.3069999999999999</v>
      </c>
      <c r="E18" s="61">
        <f>3.2937 * CHOOSE(CONTROL!$C$19, $C$13, 100%, $E$13)</f>
        <v>3.2936999999999999</v>
      </c>
      <c r="F18" s="61">
        <f>2.073 * CHOOSE(CONTROL!$C$19, $C$13, 100%, $E$13)</f>
        <v>2.073</v>
      </c>
      <c r="G18" s="61">
        <f>2.0732 * CHOOSE(CONTROL!$C$19, $C$13, 100%, $E$13)</f>
        <v>2.0731999999999999</v>
      </c>
      <c r="H18" s="61">
        <f>5.1708* CHOOSE(CONTROL!$C$19, $C$13, 100%, $E$13)</f>
        <v>5.1707999999999998</v>
      </c>
      <c r="I18" s="61">
        <f>5.1709 * CHOOSE(CONTROL!$C$19, $C$13, 100%, $E$13)</f>
        <v>5.1708999999999996</v>
      </c>
      <c r="J18" s="61">
        <f>3.2937 * CHOOSE(CONTROL!$C$19, $C$13, 100%, $E$13)</f>
        <v>3.2936999999999999</v>
      </c>
      <c r="K18" s="61">
        <f>3.2939 * CHOOSE(CONTROL!$C$19, $C$13, 100%, $E$13)</f>
        <v>3.2938999999999998</v>
      </c>
      <c r="L18" s="4"/>
      <c r="M18" s="61"/>
      <c r="N18" s="61"/>
    </row>
    <row r="19" spans="1:14" ht="15">
      <c r="A19" s="13">
        <v>42430</v>
      </c>
      <c r="B19" s="60">
        <f>2.2949 * CHOOSE(CONTROL!$C$19, $C$13, 100%, $E$13)</f>
        <v>2.2949000000000002</v>
      </c>
      <c r="C19" s="60">
        <f>2.2949 * CHOOSE(CONTROL!$C$19, $C$13, 100%, $E$13)</f>
        <v>2.2949000000000002</v>
      </c>
      <c r="D19" s="60">
        <f>2.3101 * CHOOSE(CONTROL!$C$19, $C$13, 100%, $E$13)</f>
        <v>2.3100999999999998</v>
      </c>
      <c r="E19" s="61">
        <f>3.2105 * CHOOSE(CONTROL!$C$19, $C$13, 100%, $E$13)</f>
        <v>3.2105000000000001</v>
      </c>
      <c r="F19" s="61">
        <f>2.073 * CHOOSE(CONTROL!$C$19, $C$13, 100%, $E$13)</f>
        <v>2.073</v>
      </c>
      <c r="G19" s="61">
        <f>2.0732 * CHOOSE(CONTROL!$C$19, $C$13, 100%, $E$13)</f>
        <v>2.0731999999999999</v>
      </c>
      <c r="H19" s="61">
        <f>5.1815* CHOOSE(CONTROL!$C$19, $C$13, 100%, $E$13)</f>
        <v>5.1814999999999998</v>
      </c>
      <c r="I19" s="61">
        <f>5.1817 * CHOOSE(CONTROL!$C$19, $C$13, 100%, $E$13)</f>
        <v>5.1817000000000002</v>
      </c>
      <c r="J19" s="61">
        <f>3.2105 * CHOOSE(CONTROL!$C$19, $C$13, 100%, $E$13)</f>
        <v>3.2105000000000001</v>
      </c>
      <c r="K19" s="61">
        <f>3.2107 * CHOOSE(CONTROL!$C$19, $C$13, 100%, $E$13)</f>
        <v>3.2107000000000001</v>
      </c>
      <c r="L19" s="4"/>
      <c r="M19" s="61"/>
      <c r="N19" s="61"/>
    </row>
    <row r="20" spans="1:14" ht="15">
      <c r="A20" s="13">
        <v>42461</v>
      </c>
      <c r="B20" s="60">
        <f>2.2787 * CHOOSE(CONTROL!$C$19, $C$13, 100%, $E$13)</f>
        <v>2.2787000000000002</v>
      </c>
      <c r="C20" s="60">
        <f>2.2787 * CHOOSE(CONTROL!$C$19, $C$13, 100%, $E$13)</f>
        <v>2.2787000000000002</v>
      </c>
      <c r="D20" s="60">
        <f>2.2939 * CHOOSE(CONTROL!$C$19, $C$13, 100%, $E$13)</f>
        <v>2.2938999999999998</v>
      </c>
      <c r="E20" s="61">
        <f>2.9965 * CHOOSE(CONTROL!$C$19, $C$13, 100%, $E$13)</f>
        <v>2.9965000000000002</v>
      </c>
      <c r="F20" s="61">
        <f>2.049 * CHOOSE(CONTROL!$C$19, $C$13, 100%, $E$13)</f>
        <v>2.0489999999999999</v>
      </c>
      <c r="G20" s="61">
        <f>2.0492 * CHOOSE(CONTROL!$C$19, $C$13, 100%, $E$13)</f>
        <v>2.0491999999999999</v>
      </c>
      <c r="H20" s="61">
        <f>4.199* CHOOSE(CONTROL!$C$19, $C$13, 100%, $E$13)</f>
        <v>4.1989999999999998</v>
      </c>
      <c r="I20" s="61">
        <f>4.1992 * CHOOSE(CONTROL!$C$19, $C$13, 100%, $E$13)</f>
        <v>4.1992000000000003</v>
      </c>
      <c r="J20" s="61">
        <f>2.9965 * CHOOSE(CONTROL!$C$19, $C$13, 100%, $E$13)</f>
        <v>2.9965000000000002</v>
      </c>
      <c r="K20" s="61">
        <f>2.9966 * CHOOSE(CONTROL!$C$19, $C$13, 100%, $E$13)</f>
        <v>2.9965999999999999</v>
      </c>
      <c r="L20" s="4"/>
      <c r="M20" s="61"/>
      <c r="N20" s="61"/>
    </row>
    <row r="21" spans="1:14" ht="15">
      <c r="A21" s="13">
        <v>42491</v>
      </c>
      <c r="B21" s="60">
        <f>2.2696 * CHOOSE(CONTROL!$C$19, $C$13, 100%, $E$13)</f>
        <v>2.2696000000000001</v>
      </c>
      <c r="C21" s="60">
        <f>2.2696 * CHOOSE(CONTROL!$C$19, $C$13, 100%, $E$13)</f>
        <v>2.2696000000000001</v>
      </c>
      <c r="D21" s="60">
        <f>2.2999 * CHOOSE(CONTROL!$C$19, $C$13, 100%, $E$13)</f>
        <v>2.2999000000000001</v>
      </c>
      <c r="E21" s="61">
        <f>3.1407 * CHOOSE(CONTROL!$C$19, $C$13, 100%, $E$13)</f>
        <v>3.1406999999999998</v>
      </c>
      <c r="F21" s="61">
        <f>2.049 * CHOOSE(CONTROL!$C$19, $C$13, 100%, $E$13)</f>
        <v>2.0489999999999999</v>
      </c>
      <c r="G21" s="61">
        <f>2.0509 * CHOOSE(CONTROL!$C$19, $C$13, 100%, $E$13)</f>
        <v>2.0508999999999999</v>
      </c>
      <c r="H21" s="61">
        <f>4.2077* CHOOSE(CONTROL!$C$19, $C$13, 100%, $E$13)</f>
        <v>4.2077</v>
      </c>
      <c r="I21" s="61">
        <f>4.2096 * CHOOSE(CONTROL!$C$19, $C$13, 100%, $E$13)</f>
        <v>4.2096</v>
      </c>
      <c r="J21" s="61">
        <f>3.1407 * CHOOSE(CONTROL!$C$19, $C$13, 100%, $E$13)</f>
        <v>3.1406999999999998</v>
      </c>
      <c r="K21" s="61">
        <f>3.1426 * CHOOSE(CONTROL!$C$19, $C$13, 100%, $E$13)</f>
        <v>3.1425999999999998</v>
      </c>
      <c r="L21" s="4"/>
      <c r="M21" s="61"/>
      <c r="N21" s="61"/>
    </row>
    <row r="22" spans="1:14" ht="15">
      <c r="A22" s="13">
        <v>42522</v>
      </c>
      <c r="B22" s="60">
        <f>2.2787 * CHOOSE(CONTROL!$C$19, $C$13, 100%, $E$13)</f>
        <v>2.2787000000000002</v>
      </c>
      <c r="C22" s="60">
        <f>2.2787 * CHOOSE(CONTROL!$C$19, $C$13, 100%, $E$13)</f>
        <v>2.2787000000000002</v>
      </c>
      <c r="D22" s="60">
        <f>2.309 * CHOOSE(CONTROL!$C$19, $C$13, 100%, $E$13)</f>
        <v>2.3090000000000002</v>
      </c>
      <c r="E22" s="61">
        <f>2.7508 * CHOOSE(CONTROL!$C$19, $C$13, 100%, $E$13)</f>
        <v>2.7507999999999999</v>
      </c>
      <c r="F22" s="61">
        <f>2.049 * CHOOSE(CONTROL!$C$19, $C$13, 100%, $E$13)</f>
        <v>2.0489999999999999</v>
      </c>
      <c r="G22" s="61">
        <f>2.0509 * CHOOSE(CONTROL!$C$19, $C$13, 100%, $E$13)</f>
        <v>2.0508999999999999</v>
      </c>
      <c r="H22" s="61">
        <f>4.2165* CHOOSE(CONTROL!$C$19, $C$13, 100%, $E$13)</f>
        <v>4.2164999999999999</v>
      </c>
      <c r="I22" s="61">
        <f>4.2184 * CHOOSE(CONTROL!$C$19, $C$13, 100%, $E$13)</f>
        <v>4.2183999999999999</v>
      </c>
      <c r="J22" s="61">
        <f>2.7508 * CHOOSE(CONTROL!$C$19, $C$13, 100%, $E$13)</f>
        <v>2.7507999999999999</v>
      </c>
      <c r="K22" s="61">
        <f>2.7527 * CHOOSE(CONTROL!$C$19, $C$13, 100%, $E$13)</f>
        <v>2.7526999999999999</v>
      </c>
      <c r="L22" s="4"/>
      <c r="M22" s="61"/>
      <c r="N22" s="61"/>
    </row>
    <row r="23" spans="1:14" ht="15">
      <c r="A23" s="13">
        <v>42552</v>
      </c>
      <c r="B23" s="60">
        <f>2.3547 * CHOOSE(CONTROL!$C$19, $C$13, 100%, $E$13)</f>
        <v>2.3546999999999998</v>
      </c>
      <c r="C23" s="60">
        <f>2.3547 * CHOOSE(CONTROL!$C$19, $C$13, 100%, $E$13)</f>
        <v>2.3546999999999998</v>
      </c>
      <c r="D23" s="60">
        <f>2.385 * CHOOSE(CONTROL!$C$19, $C$13, 100%, $E$13)</f>
        <v>2.3849999999999998</v>
      </c>
      <c r="E23" s="61">
        <f>2.9653 * CHOOSE(CONTROL!$C$19, $C$13, 100%, $E$13)</f>
        <v>2.9653</v>
      </c>
      <c r="F23" s="61">
        <f>2.035 * CHOOSE(CONTROL!$C$19, $C$13, 100%, $E$13)</f>
        <v>2.0350000000000001</v>
      </c>
      <c r="G23" s="61">
        <f>2.0369 * CHOOSE(CONTROL!$C$19, $C$13, 100%, $E$13)</f>
        <v>2.0369000000000002</v>
      </c>
      <c r="H23" s="61">
        <f>4.2253* CHOOSE(CONTROL!$C$19, $C$13, 100%, $E$13)</f>
        <v>4.2252999999999998</v>
      </c>
      <c r="I23" s="61">
        <f>4.2272 * CHOOSE(CONTROL!$C$19, $C$13, 100%, $E$13)</f>
        <v>4.2271999999999998</v>
      </c>
      <c r="J23" s="61">
        <f>2.9653 * CHOOSE(CONTROL!$C$19, $C$13, 100%, $E$13)</f>
        <v>2.9653</v>
      </c>
      <c r="K23" s="61">
        <f>2.9672 * CHOOSE(CONTROL!$C$19, $C$13, 100%, $E$13)</f>
        <v>2.9672000000000001</v>
      </c>
      <c r="L23" s="4"/>
      <c r="M23" s="4"/>
      <c r="N23" s="4"/>
    </row>
    <row r="24" spans="1:14" ht="15">
      <c r="A24" s="13">
        <v>42583</v>
      </c>
      <c r="B24" s="60">
        <f>2.3759 * CHOOSE(CONTROL!$C$19, $C$13, 100%, $E$13)</f>
        <v>2.3759000000000001</v>
      </c>
      <c r="C24" s="60">
        <f>2.3759 * CHOOSE(CONTROL!$C$19, $C$13, 100%, $E$13)</f>
        <v>2.3759000000000001</v>
      </c>
      <c r="D24" s="60">
        <f>2.4063 * CHOOSE(CONTROL!$C$19, $C$13, 100%, $E$13)</f>
        <v>2.4062999999999999</v>
      </c>
      <c r="E24" s="61">
        <f>3.2103 * CHOOSE(CONTROL!$C$19, $C$13, 100%, $E$13)</f>
        <v>3.2103000000000002</v>
      </c>
      <c r="F24" s="61">
        <f>2.035 * CHOOSE(CONTROL!$C$19, $C$13, 100%, $E$13)</f>
        <v>2.0350000000000001</v>
      </c>
      <c r="G24" s="61">
        <f>2.0369 * CHOOSE(CONTROL!$C$19, $C$13, 100%, $E$13)</f>
        <v>2.0369000000000002</v>
      </c>
      <c r="H24" s="61">
        <f>4.2341* CHOOSE(CONTROL!$C$19, $C$13, 100%, $E$13)</f>
        <v>4.2340999999999998</v>
      </c>
      <c r="I24" s="61">
        <f>4.236 * CHOOSE(CONTROL!$C$19, $C$13, 100%, $E$13)</f>
        <v>4.2359999999999998</v>
      </c>
      <c r="J24" s="61">
        <f>3.2103 * CHOOSE(CONTROL!$C$19, $C$13, 100%, $E$13)</f>
        <v>3.2103000000000002</v>
      </c>
      <c r="K24" s="61">
        <f>3.2122 * CHOOSE(CONTROL!$C$19, $C$13, 100%, $E$13)</f>
        <v>3.2122000000000002</v>
      </c>
      <c r="L24" s="4"/>
      <c r="M24" s="4"/>
      <c r="N24" s="4"/>
    </row>
    <row r="25" spans="1:14" ht="15">
      <c r="A25" s="13">
        <v>42614</v>
      </c>
      <c r="B25" s="60">
        <f>2.3638 * CHOOSE(CONTROL!$C$19, $C$13, 100%, $E$13)</f>
        <v>2.3637999999999999</v>
      </c>
      <c r="C25" s="60">
        <f>2.3638 * CHOOSE(CONTROL!$C$19, $C$13, 100%, $E$13)</f>
        <v>2.3637999999999999</v>
      </c>
      <c r="D25" s="60">
        <f>2.3941 * CHOOSE(CONTROL!$C$19, $C$13, 100%, $E$13)</f>
        <v>2.3940999999999999</v>
      </c>
      <c r="E25" s="61">
        <f>3.139 * CHOOSE(CONTROL!$C$19, $C$13, 100%, $E$13)</f>
        <v>3.1389999999999998</v>
      </c>
      <c r="F25" s="61">
        <f>2.035 * CHOOSE(CONTROL!$C$19, $C$13, 100%, $E$13)</f>
        <v>2.0350000000000001</v>
      </c>
      <c r="G25" s="61">
        <f>2.0369 * CHOOSE(CONTROL!$C$19, $C$13, 100%, $E$13)</f>
        <v>2.0369000000000002</v>
      </c>
      <c r="H25" s="61">
        <f>4.2429* CHOOSE(CONTROL!$C$19, $C$13, 100%, $E$13)</f>
        <v>4.2428999999999997</v>
      </c>
      <c r="I25" s="61">
        <f>4.2448 * CHOOSE(CONTROL!$C$19, $C$13, 100%, $E$13)</f>
        <v>4.2447999999999997</v>
      </c>
      <c r="J25" s="61">
        <f>3.139 * CHOOSE(CONTROL!$C$19, $C$13, 100%, $E$13)</f>
        <v>3.1389999999999998</v>
      </c>
      <c r="K25" s="61">
        <f>3.1409 * CHOOSE(CONTROL!$C$19, $C$13, 100%, $E$13)</f>
        <v>3.1408999999999998</v>
      </c>
      <c r="L25" s="4"/>
      <c r="M25" s="4"/>
      <c r="N25" s="4"/>
    </row>
    <row r="26" spans="1:14" ht="15">
      <c r="A26" s="13">
        <v>42644</v>
      </c>
      <c r="B26" s="60">
        <f>2.3759 * CHOOSE(CONTROL!$C$19, $C$13, 100%, $E$13)</f>
        <v>2.3759000000000001</v>
      </c>
      <c r="C26" s="60">
        <f>2.3759 * CHOOSE(CONTROL!$C$19, $C$13, 100%, $E$13)</f>
        <v>2.3759000000000001</v>
      </c>
      <c r="D26" s="60">
        <f>2.3911 * CHOOSE(CONTROL!$C$19, $C$13, 100%, $E$13)</f>
        <v>2.3910999999999998</v>
      </c>
      <c r="E26" s="61">
        <f>3.139 * CHOOSE(CONTROL!$C$19, $C$13, 100%, $E$13)</f>
        <v>3.1389999999999998</v>
      </c>
      <c r="F26" s="61">
        <f>2.035 * CHOOSE(CONTROL!$C$19, $C$13, 100%, $E$13)</f>
        <v>2.0350000000000001</v>
      </c>
      <c r="G26" s="61">
        <f>2.0352 * CHOOSE(CONTROL!$C$19, $C$13, 100%, $E$13)</f>
        <v>2.0352000000000001</v>
      </c>
      <c r="H26" s="61">
        <f>4.2518* CHOOSE(CONTROL!$C$19, $C$13, 100%, $E$13)</f>
        <v>4.2518000000000002</v>
      </c>
      <c r="I26" s="61">
        <f>4.2519 * CHOOSE(CONTROL!$C$19, $C$13, 100%, $E$13)</f>
        <v>4.2519</v>
      </c>
      <c r="J26" s="61">
        <f>3.139 * CHOOSE(CONTROL!$C$19, $C$13, 100%, $E$13)</f>
        <v>3.1389999999999998</v>
      </c>
      <c r="K26" s="61">
        <f>3.1392 * CHOOSE(CONTROL!$C$19, $C$13, 100%, $E$13)</f>
        <v>3.1392000000000002</v>
      </c>
      <c r="L26" s="4"/>
      <c r="M26" s="4"/>
      <c r="N26" s="4"/>
    </row>
    <row r="27" spans="1:14" ht="15">
      <c r="A27" s="13">
        <v>42675</v>
      </c>
      <c r="B27" s="60">
        <f>2.3911 * CHOOSE(CONTROL!$C$19, $C$13, 100%, $E$13)</f>
        <v>2.3910999999999998</v>
      </c>
      <c r="C27" s="60">
        <f>2.3911 * CHOOSE(CONTROL!$C$19, $C$13, 100%, $E$13)</f>
        <v>2.3910999999999998</v>
      </c>
      <c r="D27" s="60">
        <f>2.4063 * CHOOSE(CONTROL!$C$19, $C$13, 100%, $E$13)</f>
        <v>2.4062999999999999</v>
      </c>
      <c r="E27" s="61">
        <f>3.0263 * CHOOSE(CONTROL!$C$19, $C$13, 100%, $E$13)</f>
        <v>3.0263</v>
      </c>
      <c r="F27" s="61">
        <f>2.05 * CHOOSE(CONTROL!$C$19, $C$13, 100%, $E$13)</f>
        <v>2.0499999999999998</v>
      </c>
      <c r="G27" s="61">
        <f>2.0502 * CHOOSE(CONTROL!$C$19, $C$13, 100%, $E$13)</f>
        <v>2.0501999999999998</v>
      </c>
      <c r="H27" s="61">
        <f>4.2606* CHOOSE(CONTROL!$C$19, $C$13, 100%, $E$13)</f>
        <v>4.2606000000000002</v>
      </c>
      <c r="I27" s="61">
        <f>4.2608 * CHOOSE(CONTROL!$C$19, $C$13, 100%, $E$13)</f>
        <v>4.2607999999999997</v>
      </c>
      <c r="J27" s="61">
        <f>3.0263 * CHOOSE(CONTROL!$C$19, $C$13, 100%, $E$13)</f>
        <v>3.0263</v>
      </c>
      <c r="K27" s="61">
        <f>3.0265 * CHOOSE(CONTROL!$C$19, $C$13, 100%, $E$13)</f>
        <v>3.0265</v>
      </c>
      <c r="L27" s="4"/>
      <c r="M27" s="4"/>
      <c r="N27" s="4"/>
    </row>
    <row r="28" spans="1:14" ht="15">
      <c r="A28" s="13">
        <v>42705</v>
      </c>
      <c r="B28" s="60">
        <f>2.4063 * CHOOSE(CONTROL!$C$19, $C$13, 100%, $E$13)</f>
        <v>2.4062999999999999</v>
      </c>
      <c r="C28" s="60">
        <f>2.4063 * CHOOSE(CONTROL!$C$19, $C$13, 100%, $E$13)</f>
        <v>2.4062999999999999</v>
      </c>
      <c r="D28" s="60">
        <f>2.4215 * CHOOSE(CONTROL!$C$19, $C$13, 100%, $E$13)</f>
        <v>2.4215</v>
      </c>
      <c r="E28" s="61">
        <f>3.0678 * CHOOSE(CONTROL!$C$19, $C$13, 100%, $E$13)</f>
        <v>3.0678000000000001</v>
      </c>
      <c r="F28" s="61">
        <f>2.05 * CHOOSE(CONTROL!$C$19, $C$13, 100%, $E$13)</f>
        <v>2.0499999999999998</v>
      </c>
      <c r="G28" s="61">
        <f>2.0502 * CHOOSE(CONTROL!$C$19, $C$13, 100%, $E$13)</f>
        <v>2.0501999999999998</v>
      </c>
      <c r="H28" s="61">
        <f>4.2695* CHOOSE(CONTROL!$C$19, $C$13, 100%, $E$13)</f>
        <v>4.2694999999999999</v>
      </c>
      <c r="I28" s="61">
        <f>4.2697 * CHOOSE(CONTROL!$C$19, $C$13, 100%, $E$13)</f>
        <v>4.2697000000000003</v>
      </c>
      <c r="J28" s="61">
        <f>3.0678 * CHOOSE(CONTROL!$C$19, $C$13, 100%, $E$13)</f>
        <v>3.0678000000000001</v>
      </c>
      <c r="K28" s="61">
        <f>3.068 * CHOOSE(CONTROL!$C$19, $C$13, 100%, $E$13)</f>
        <v>3.0680000000000001</v>
      </c>
      <c r="L28" s="4"/>
      <c r="M28" s="4"/>
      <c r="N28" s="4"/>
    </row>
    <row r="29" spans="1:14" ht="15">
      <c r="A29" s="13">
        <v>42736</v>
      </c>
      <c r="B29" s="60">
        <f>2.2766 * CHOOSE(CONTROL!$C$19, $C$13, 100%, $E$13)</f>
        <v>2.2766000000000002</v>
      </c>
      <c r="C29" s="60">
        <f>2.2766 * CHOOSE(CONTROL!$C$19, $C$13, 100%, $E$13)</f>
        <v>2.2766000000000002</v>
      </c>
      <c r="D29" s="60">
        <f>2.2918 * CHOOSE(CONTROL!$C$19, $C$13, 100%, $E$13)</f>
        <v>2.2917999999999998</v>
      </c>
      <c r="E29" s="61">
        <f>3.4487 * CHOOSE(CONTROL!$C$19, $C$13, 100%, $E$13)</f>
        <v>3.4487000000000001</v>
      </c>
      <c r="F29" s="61">
        <f>2.073 * CHOOSE(CONTROL!$C$19, $C$13, 100%, $E$13)</f>
        <v>2.073</v>
      </c>
      <c r="G29" s="61">
        <f>2.0732 * CHOOSE(CONTROL!$C$19, $C$13, 100%, $E$13)</f>
        <v>2.0731999999999999</v>
      </c>
      <c r="H29" s="61">
        <f>4.2784* CHOOSE(CONTROL!$C$19, $C$13, 100%, $E$13)</f>
        <v>4.2784000000000004</v>
      </c>
      <c r="I29" s="61">
        <f>4.2786 * CHOOSE(CONTROL!$C$19, $C$13, 100%, $E$13)</f>
        <v>4.2786</v>
      </c>
      <c r="J29" s="61">
        <f>3.4487 * CHOOSE(CONTROL!$C$19, $C$13, 100%, $E$13)</f>
        <v>3.4487000000000001</v>
      </c>
      <c r="K29" s="61">
        <f>3.4489 * CHOOSE(CONTROL!$C$19, $C$13, 100%, $E$13)</f>
        <v>3.4489000000000001</v>
      </c>
      <c r="L29" s="4"/>
      <c r="M29" s="4"/>
      <c r="N29" s="4"/>
    </row>
    <row r="30" spans="1:14" ht="15">
      <c r="A30" s="13">
        <v>42767</v>
      </c>
      <c r="B30" s="60">
        <f>2.2705 * CHOOSE(CONTROL!$C$19, $C$13, 100%, $E$13)</f>
        <v>2.2705000000000002</v>
      </c>
      <c r="C30" s="60">
        <f>2.2705 * CHOOSE(CONTROL!$C$19, $C$13, 100%, $E$13)</f>
        <v>2.2705000000000002</v>
      </c>
      <c r="D30" s="60">
        <f>2.2857 * CHOOSE(CONTROL!$C$19, $C$13, 100%, $E$13)</f>
        <v>2.2856999999999998</v>
      </c>
      <c r="E30" s="61">
        <f>3.3873 * CHOOSE(CONTROL!$C$19, $C$13, 100%, $E$13)</f>
        <v>3.3873000000000002</v>
      </c>
      <c r="F30" s="61">
        <f>2.073 * CHOOSE(CONTROL!$C$19, $C$13, 100%, $E$13)</f>
        <v>2.073</v>
      </c>
      <c r="G30" s="61">
        <f>2.0732 * CHOOSE(CONTROL!$C$19, $C$13, 100%, $E$13)</f>
        <v>2.0731999999999999</v>
      </c>
      <c r="H30" s="61">
        <f>4.2873* CHOOSE(CONTROL!$C$19, $C$13, 100%, $E$13)</f>
        <v>4.2873000000000001</v>
      </c>
      <c r="I30" s="61">
        <f>4.2875 * CHOOSE(CONTROL!$C$19, $C$13, 100%, $E$13)</f>
        <v>4.2874999999999996</v>
      </c>
      <c r="J30" s="61">
        <f>3.3873 * CHOOSE(CONTROL!$C$19, $C$13, 100%, $E$13)</f>
        <v>3.3873000000000002</v>
      </c>
      <c r="K30" s="61">
        <f>3.3875 * CHOOSE(CONTROL!$C$19, $C$13, 100%, $E$13)</f>
        <v>3.3875000000000002</v>
      </c>
      <c r="L30" s="4"/>
      <c r="M30" s="4"/>
      <c r="N30" s="4"/>
    </row>
    <row r="31" spans="1:14" ht="15">
      <c r="A31" s="13">
        <v>42795</v>
      </c>
      <c r="B31" s="60">
        <f>2.2645 * CHOOSE(CONTROL!$C$19, $C$13, 100%, $E$13)</f>
        <v>2.2645</v>
      </c>
      <c r="C31" s="60">
        <f>2.2645 * CHOOSE(CONTROL!$C$19, $C$13, 100%, $E$13)</f>
        <v>2.2645</v>
      </c>
      <c r="D31" s="60">
        <f>2.2796 * CHOOSE(CONTROL!$C$19, $C$13, 100%, $E$13)</f>
        <v>2.2795999999999998</v>
      </c>
      <c r="E31" s="61">
        <f>3.3873 * CHOOSE(CONTROL!$C$19, $C$13, 100%, $E$13)</f>
        <v>3.3873000000000002</v>
      </c>
      <c r="F31" s="61">
        <f>2.073 * CHOOSE(CONTROL!$C$19, $C$13, 100%, $E$13)</f>
        <v>2.073</v>
      </c>
      <c r="G31" s="61">
        <f>2.0732 * CHOOSE(CONTROL!$C$19, $C$13, 100%, $E$13)</f>
        <v>2.0731999999999999</v>
      </c>
      <c r="H31" s="61">
        <f>4.2962* CHOOSE(CONTROL!$C$19, $C$13, 100%, $E$13)</f>
        <v>4.2961999999999998</v>
      </c>
      <c r="I31" s="61">
        <f>4.2964 * CHOOSE(CONTROL!$C$19, $C$13, 100%, $E$13)</f>
        <v>4.2964000000000002</v>
      </c>
      <c r="J31" s="61">
        <f>3.3873 * CHOOSE(CONTROL!$C$19, $C$13, 100%, $E$13)</f>
        <v>3.3873000000000002</v>
      </c>
      <c r="K31" s="61">
        <f>3.3875 * CHOOSE(CONTROL!$C$19, $C$13, 100%, $E$13)</f>
        <v>3.3875000000000002</v>
      </c>
      <c r="L31" s="4"/>
      <c r="M31" s="4"/>
      <c r="N31" s="4"/>
    </row>
    <row r="32" spans="1:14" ht="15">
      <c r="A32" s="13">
        <v>42826</v>
      </c>
      <c r="B32" s="60">
        <f>2.2553 * CHOOSE(CONTROL!$C$19, $C$13, 100%, $E$13)</f>
        <v>2.2553000000000001</v>
      </c>
      <c r="C32" s="60">
        <f>2.2553 * CHOOSE(CONTROL!$C$19, $C$13, 100%, $E$13)</f>
        <v>2.2553000000000001</v>
      </c>
      <c r="D32" s="60">
        <f>2.2705 * CHOOSE(CONTROL!$C$19, $C$13, 100%, $E$13)</f>
        <v>2.2705000000000002</v>
      </c>
      <c r="E32" s="61">
        <f>3.3873 * CHOOSE(CONTROL!$C$19, $C$13, 100%, $E$13)</f>
        <v>3.3873000000000002</v>
      </c>
      <c r="F32" s="61">
        <f>2.049 * CHOOSE(CONTROL!$C$19, $C$13, 100%, $E$13)</f>
        <v>2.0489999999999999</v>
      </c>
      <c r="G32" s="61">
        <f>2.0492 * CHOOSE(CONTROL!$C$19, $C$13, 100%, $E$13)</f>
        <v>2.0491999999999999</v>
      </c>
      <c r="H32" s="61">
        <f>4.3052* CHOOSE(CONTROL!$C$19, $C$13, 100%, $E$13)</f>
        <v>4.3052000000000001</v>
      </c>
      <c r="I32" s="61">
        <f>4.3054 * CHOOSE(CONTROL!$C$19, $C$13, 100%, $E$13)</f>
        <v>4.3053999999999997</v>
      </c>
      <c r="J32" s="61">
        <f>3.3873 * CHOOSE(CONTROL!$C$19, $C$13, 100%, $E$13)</f>
        <v>3.3873000000000002</v>
      </c>
      <c r="K32" s="61">
        <f>3.3875 * CHOOSE(CONTROL!$C$19, $C$13, 100%, $E$13)</f>
        <v>3.3875000000000002</v>
      </c>
      <c r="L32" s="4"/>
      <c r="M32" s="4"/>
      <c r="N32" s="4"/>
    </row>
    <row r="33" spans="1:14" ht="15">
      <c r="A33" s="13">
        <v>42856</v>
      </c>
      <c r="B33" s="60">
        <f>2.2493 * CHOOSE(CONTROL!$C$19, $C$13, 100%, $E$13)</f>
        <v>2.2492999999999999</v>
      </c>
      <c r="C33" s="60">
        <f>2.2493 * CHOOSE(CONTROL!$C$19, $C$13, 100%, $E$13)</f>
        <v>2.2492999999999999</v>
      </c>
      <c r="D33" s="60">
        <f>2.2796 * CHOOSE(CONTROL!$C$19, $C$13, 100%, $E$13)</f>
        <v>2.2795999999999998</v>
      </c>
      <c r="E33" s="61">
        <f>3.3873 * CHOOSE(CONTROL!$C$19, $C$13, 100%, $E$13)</f>
        <v>3.3873000000000002</v>
      </c>
      <c r="F33" s="61">
        <f>2.049 * CHOOSE(CONTROL!$C$19, $C$13, 100%, $E$13)</f>
        <v>2.0489999999999999</v>
      </c>
      <c r="G33" s="61">
        <f>2.0509 * CHOOSE(CONTROL!$C$19, $C$13, 100%, $E$13)</f>
        <v>2.0508999999999999</v>
      </c>
      <c r="H33" s="61">
        <f>4.3142* CHOOSE(CONTROL!$C$19, $C$13, 100%, $E$13)</f>
        <v>4.3141999999999996</v>
      </c>
      <c r="I33" s="61">
        <f>4.3161 * CHOOSE(CONTROL!$C$19, $C$13, 100%, $E$13)</f>
        <v>4.3160999999999996</v>
      </c>
      <c r="J33" s="61">
        <f>3.3873 * CHOOSE(CONTROL!$C$19, $C$13, 100%, $E$13)</f>
        <v>3.3873000000000002</v>
      </c>
      <c r="K33" s="61">
        <f>3.3892 * CHOOSE(CONTROL!$C$19, $C$13, 100%, $E$13)</f>
        <v>3.3892000000000002</v>
      </c>
      <c r="L33" s="4"/>
      <c r="M33" s="4"/>
      <c r="N33" s="4"/>
    </row>
    <row r="34" spans="1:14" ht="15">
      <c r="A34" s="13">
        <v>42887</v>
      </c>
      <c r="B34" s="60">
        <f>2.2645 * CHOOSE(CONTROL!$C$19, $C$13, 100%, $E$13)</f>
        <v>2.2645</v>
      </c>
      <c r="C34" s="60">
        <f>2.2645 * CHOOSE(CONTROL!$C$19, $C$13, 100%, $E$13)</f>
        <v>2.2645</v>
      </c>
      <c r="D34" s="60">
        <f>2.2948 * CHOOSE(CONTROL!$C$19, $C$13, 100%, $E$13)</f>
        <v>2.2948</v>
      </c>
      <c r="E34" s="61">
        <f>3.2645 * CHOOSE(CONTROL!$C$19, $C$13, 100%, $E$13)</f>
        <v>3.2645</v>
      </c>
      <c r="F34" s="61">
        <f>2.049 * CHOOSE(CONTROL!$C$19, $C$13, 100%, $E$13)</f>
        <v>2.0489999999999999</v>
      </c>
      <c r="G34" s="61">
        <f>2.0509 * CHOOSE(CONTROL!$C$19, $C$13, 100%, $E$13)</f>
        <v>2.0508999999999999</v>
      </c>
      <c r="H34" s="61">
        <f>4.3231* CHOOSE(CONTROL!$C$19, $C$13, 100%, $E$13)</f>
        <v>4.3231000000000002</v>
      </c>
      <c r="I34" s="61">
        <f>4.325 * CHOOSE(CONTROL!$C$19, $C$13, 100%, $E$13)</f>
        <v>4.3250000000000002</v>
      </c>
      <c r="J34" s="61">
        <f>3.2645 * CHOOSE(CONTROL!$C$19, $C$13, 100%, $E$13)</f>
        <v>3.2645</v>
      </c>
      <c r="K34" s="61">
        <f>3.2664 * CHOOSE(CONTROL!$C$19, $C$13, 100%, $E$13)</f>
        <v>3.2664</v>
      </c>
      <c r="L34" s="4"/>
      <c r="M34" s="4"/>
      <c r="N34" s="4"/>
    </row>
    <row r="35" spans="1:14" ht="15">
      <c r="A35" s="13">
        <v>42917</v>
      </c>
      <c r="B35" s="60">
        <f>2.2949 * CHOOSE(CONTROL!$C$19, $C$13, 100%, $E$13)</f>
        <v>2.2949000000000002</v>
      </c>
      <c r="C35" s="60">
        <f>2.2949 * CHOOSE(CONTROL!$C$19, $C$13, 100%, $E$13)</f>
        <v>2.2949000000000002</v>
      </c>
      <c r="D35" s="60">
        <f>2.3252 * CHOOSE(CONTROL!$C$19, $C$13, 100%, $E$13)</f>
        <v>2.3252000000000002</v>
      </c>
      <c r="E35" s="61">
        <f>3.633 * CHOOSE(CONTROL!$C$19, $C$13, 100%, $E$13)</f>
        <v>3.633</v>
      </c>
      <c r="F35" s="61">
        <f>2.035 * CHOOSE(CONTROL!$C$19, $C$13, 100%, $E$13)</f>
        <v>2.0350000000000001</v>
      </c>
      <c r="G35" s="61">
        <f>2.0369 * CHOOSE(CONTROL!$C$19, $C$13, 100%, $E$13)</f>
        <v>2.0369000000000002</v>
      </c>
      <c r="H35" s="61">
        <f>4.3321* CHOOSE(CONTROL!$C$19, $C$13, 100%, $E$13)</f>
        <v>4.3320999999999996</v>
      </c>
      <c r="I35" s="61">
        <f>4.3341 * CHOOSE(CONTROL!$C$19, $C$13, 100%, $E$13)</f>
        <v>4.3341000000000003</v>
      </c>
      <c r="J35" s="61">
        <f>3.633 * CHOOSE(CONTROL!$C$19, $C$13, 100%, $E$13)</f>
        <v>3.633</v>
      </c>
      <c r="K35" s="61">
        <f>3.6349 * CHOOSE(CONTROL!$C$19, $C$13, 100%, $E$13)</f>
        <v>3.6349</v>
      </c>
      <c r="L35" s="4"/>
      <c r="M35" s="4"/>
      <c r="N35" s="4"/>
    </row>
    <row r="36" spans="1:14" ht="15">
      <c r="A36" s="13">
        <v>42948</v>
      </c>
      <c r="B36" s="60">
        <f>2.3161 * CHOOSE(CONTROL!$C$19, $C$13, 100%, $E$13)</f>
        <v>2.3161</v>
      </c>
      <c r="C36" s="60">
        <f>2.3161 * CHOOSE(CONTROL!$C$19, $C$13, 100%, $E$13)</f>
        <v>2.3161</v>
      </c>
      <c r="D36" s="60">
        <f>2.3465 * CHOOSE(CONTROL!$C$19, $C$13, 100%, $E$13)</f>
        <v>2.3464999999999998</v>
      </c>
      <c r="E36" s="61">
        <f>3.633 * CHOOSE(CONTROL!$C$19, $C$13, 100%, $E$13)</f>
        <v>3.633</v>
      </c>
      <c r="F36" s="61">
        <f>2.035 * CHOOSE(CONTROL!$C$19, $C$13, 100%, $E$13)</f>
        <v>2.0350000000000001</v>
      </c>
      <c r="G36" s="61">
        <f>2.0369 * CHOOSE(CONTROL!$C$19, $C$13, 100%, $E$13)</f>
        <v>2.0369000000000002</v>
      </c>
      <c r="H36" s="61">
        <f>4.3412* CHOOSE(CONTROL!$C$19, $C$13, 100%, $E$13)</f>
        <v>4.3411999999999997</v>
      </c>
      <c r="I36" s="61">
        <f>4.3431 * CHOOSE(CONTROL!$C$19, $C$13, 100%, $E$13)</f>
        <v>4.3430999999999997</v>
      </c>
      <c r="J36" s="61">
        <f>3.633 * CHOOSE(CONTROL!$C$19, $C$13, 100%, $E$13)</f>
        <v>3.633</v>
      </c>
      <c r="K36" s="61">
        <f>3.6349 * CHOOSE(CONTROL!$C$19, $C$13, 100%, $E$13)</f>
        <v>3.6349</v>
      </c>
      <c r="L36" s="4"/>
      <c r="M36" s="4"/>
      <c r="N36" s="4"/>
    </row>
    <row r="37" spans="1:14" ht="15">
      <c r="A37" s="13">
        <v>42979</v>
      </c>
      <c r="B37" s="60">
        <f>2.304 * CHOOSE(CONTROL!$C$19, $C$13, 100%, $E$13)</f>
        <v>2.3039999999999998</v>
      </c>
      <c r="C37" s="60">
        <f>2.304 * CHOOSE(CONTROL!$C$19, $C$13, 100%, $E$13)</f>
        <v>2.3039999999999998</v>
      </c>
      <c r="D37" s="60">
        <f>2.3343 * CHOOSE(CONTROL!$C$19, $C$13, 100%, $E$13)</f>
        <v>2.3342999999999998</v>
      </c>
      <c r="E37" s="61">
        <f>3.633 * CHOOSE(CONTROL!$C$19, $C$13, 100%, $E$13)</f>
        <v>3.633</v>
      </c>
      <c r="F37" s="61">
        <f>2.035 * CHOOSE(CONTROL!$C$19, $C$13, 100%, $E$13)</f>
        <v>2.0350000000000001</v>
      </c>
      <c r="G37" s="61">
        <f>2.0369 * CHOOSE(CONTROL!$C$19, $C$13, 100%, $E$13)</f>
        <v>2.0369000000000002</v>
      </c>
      <c r="H37" s="61">
        <f>4.3502* CHOOSE(CONTROL!$C$19, $C$13, 100%, $E$13)</f>
        <v>4.3502000000000001</v>
      </c>
      <c r="I37" s="61">
        <f>4.3521 * CHOOSE(CONTROL!$C$19, $C$13, 100%, $E$13)</f>
        <v>4.3521000000000001</v>
      </c>
      <c r="J37" s="61">
        <f>3.633 * CHOOSE(CONTROL!$C$19, $C$13, 100%, $E$13)</f>
        <v>3.633</v>
      </c>
      <c r="K37" s="61">
        <f>3.6349 * CHOOSE(CONTROL!$C$19, $C$13, 100%, $E$13)</f>
        <v>3.6349</v>
      </c>
      <c r="L37" s="4"/>
      <c r="M37" s="4"/>
      <c r="N37" s="4"/>
    </row>
    <row r="38" spans="1:14" ht="15">
      <c r="A38" s="13">
        <v>43009</v>
      </c>
      <c r="B38" s="60">
        <f>2.3009 * CHOOSE(CONTROL!$C$19, $C$13, 100%, $E$13)</f>
        <v>2.3008999999999999</v>
      </c>
      <c r="C38" s="60">
        <f>2.3009 * CHOOSE(CONTROL!$C$19, $C$13, 100%, $E$13)</f>
        <v>2.3008999999999999</v>
      </c>
      <c r="D38" s="60">
        <f>2.3161 * CHOOSE(CONTROL!$C$19, $C$13, 100%, $E$13)</f>
        <v>2.3161</v>
      </c>
      <c r="E38" s="61">
        <f>3.633 * CHOOSE(CONTROL!$C$19, $C$13, 100%, $E$13)</f>
        <v>3.633</v>
      </c>
      <c r="F38" s="61">
        <f>2.035 * CHOOSE(CONTROL!$C$19, $C$13, 100%, $E$13)</f>
        <v>2.0350000000000001</v>
      </c>
      <c r="G38" s="61">
        <f>2.0352 * CHOOSE(CONTROL!$C$19, $C$13, 100%, $E$13)</f>
        <v>2.0352000000000001</v>
      </c>
      <c r="H38" s="61">
        <f>4.3593* CHOOSE(CONTROL!$C$19, $C$13, 100%, $E$13)</f>
        <v>4.3593000000000002</v>
      </c>
      <c r="I38" s="61">
        <f>4.3595 * CHOOSE(CONTROL!$C$19, $C$13, 100%, $E$13)</f>
        <v>4.3594999999999997</v>
      </c>
      <c r="J38" s="61">
        <f>3.633 * CHOOSE(CONTROL!$C$19, $C$13, 100%, $E$13)</f>
        <v>3.633</v>
      </c>
      <c r="K38" s="61">
        <f>3.6332 * CHOOSE(CONTROL!$C$19, $C$13, 100%, $E$13)</f>
        <v>3.6332</v>
      </c>
      <c r="L38" s="4"/>
      <c r="M38" s="4"/>
      <c r="N38" s="4"/>
    </row>
    <row r="39" spans="1:14" ht="15">
      <c r="A39" s="13">
        <v>43040</v>
      </c>
      <c r="B39" s="60">
        <f>2.3131 * CHOOSE(CONTROL!$C$19, $C$13, 100%, $E$13)</f>
        <v>2.3130999999999999</v>
      </c>
      <c r="C39" s="60">
        <f>2.3131 * CHOOSE(CONTROL!$C$19, $C$13, 100%, $E$13)</f>
        <v>2.3130999999999999</v>
      </c>
      <c r="D39" s="60">
        <f>2.3283 * CHOOSE(CONTROL!$C$19, $C$13, 100%, $E$13)</f>
        <v>2.3283</v>
      </c>
      <c r="E39" s="61">
        <f>3.2372 * CHOOSE(CONTROL!$C$19, $C$13, 100%, $E$13)</f>
        <v>3.2372000000000001</v>
      </c>
      <c r="F39" s="61">
        <f>2.05 * CHOOSE(CONTROL!$C$19, $C$13, 100%, $E$13)</f>
        <v>2.0499999999999998</v>
      </c>
      <c r="G39" s="61">
        <f>2.0502 * CHOOSE(CONTROL!$C$19, $C$13, 100%, $E$13)</f>
        <v>2.0501999999999998</v>
      </c>
      <c r="H39" s="61">
        <f>4.3684* CHOOSE(CONTROL!$C$19, $C$13, 100%, $E$13)</f>
        <v>4.3684000000000003</v>
      </c>
      <c r="I39" s="61">
        <f>4.3685 * CHOOSE(CONTROL!$C$19, $C$13, 100%, $E$13)</f>
        <v>4.3685</v>
      </c>
      <c r="J39" s="61">
        <f>3.2372 * CHOOSE(CONTROL!$C$19, $C$13, 100%, $E$13)</f>
        <v>3.2372000000000001</v>
      </c>
      <c r="K39" s="61">
        <f>3.2374 * CHOOSE(CONTROL!$C$19, $C$13, 100%, $E$13)</f>
        <v>3.2374000000000001</v>
      </c>
      <c r="L39" s="4"/>
      <c r="M39" s="4"/>
      <c r="N39" s="4"/>
    </row>
    <row r="40" spans="1:14" ht="15">
      <c r="A40" s="13">
        <v>43070</v>
      </c>
      <c r="B40" s="60">
        <f>2.3253 * CHOOSE(CONTROL!$C$19, $C$13, 100%, $E$13)</f>
        <v>2.3252999999999999</v>
      </c>
      <c r="C40" s="60">
        <f>2.3253 * CHOOSE(CONTROL!$C$19, $C$13, 100%, $E$13)</f>
        <v>2.3252999999999999</v>
      </c>
      <c r="D40" s="60">
        <f>2.3404 * CHOOSE(CONTROL!$C$19, $C$13, 100%, $E$13)</f>
        <v>2.3403999999999998</v>
      </c>
      <c r="E40" s="61">
        <f>3.2372 * CHOOSE(CONTROL!$C$19, $C$13, 100%, $E$13)</f>
        <v>3.2372000000000001</v>
      </c>
      <c r="F40" s="61">
        <f>2.05 * CHOOSE(CONTROL!$C$19, $C$13, 100%, $E$13)</f>
        <v>2.0499999999999998</v>
      </c>
      <c r="G40" s="61">
        <f>2.0502 * CHOOSE(CONTROL!$C$19, $C$13, 100%, $E$13)</f>
        <v>2.0501999999999998</v>
      </c>
      <c r="H40" s="61">
        <f>4.3775* CHOOSE(CONTROL!$C$19, $C$13, 100%, $E$13)</f>
        <v>4.3775000000000004</v>
      </c>
      <c r="I40" s="61">
        <f>4.3776 * CHOOSE(CONTROL!$C$19, $C$13, 100%, $E$13)</f>
        <v>4.3776000000000002</v>
      </c>
      <c r="J40" s="61">
        <f>3.2372 * CHOOSE(CONTROL!$C$19, $C$13, 100%, $E$13)</f>
        <v>3.2372000000000001</v>
      </c>
      <c r="K40" s="61">
        <f>3.2374 * CHOOSE(CONTROL!$C$19, $C$13, 100%, $E$13)</f>
        <v>3.2374000000000001</v>
      </c>
      <c r="L40" s="4"/>
      <c r="M40" s="4"/>
      <c r="N40" s="4"/>
    </row>
    <row r="41" spans="1:14" ht="15">
      <c r="A41" s="13">
        <v>43101</v>
      </c>
      <c r="B41" s="60">
        <f>2.3811 * CHOOSE(CONTROL!$C$19, $C$13, 100%, $E$13)</f>
        <v>2.3811</v>
      </c>
      <c r="C41" s="60">
        <f>2.3811 * CHOOSE(CONTROL!$C$19, $C$13, 100%, $E$13)</f>
        <v>2.3811</v>
      </c>
      <c r="D41" s="60">
        <f>2.3963 * CHOOSE(CONTROL!$C$19, $C$13, 100%, $E$13)</f>
        <v>2.3963000000000001</v>
      </c>
      <c r="E41" s="61">
        <f>2.3159 * CHOOSE(CONTROL!$C$19, $C$13, 100%, $E$13)</f>
        <v>2.3159000000000001</v>
      </c>
      <c r="F41" s="61">
        <f>2.3159 * CHOOSE(CONTROL!$C$19, $C$13, 100%, $E$13)</f>
        <v>2.3159000000000001</v>
      </c>
      <c r="G41" s="61">
        <f>2.316 * CHOOSE(CONTROL!$C$19, $C$13, 100%, $E$13)</f>
        <v>2.3159999999999998</v>
      </c>
      <c r="H41" s="61">
        <f>4.3866* CHOOSE(CONTROL!$C$19, $C$13, 100%, $E$13)</f>
        <v>4.3865999999999996</v>
      </c>
      <c r="I41" s="61">
        <f>4.3868 * CHOOSE(CONTROL!$C$19, $C$13, 100%, $E$13)</f>
        <v>4.3868</v>
      </c>
      <c r="J41" s="61">
        <f>2.3159 * CHOOSE(CONTROL!$C$19, $C$13, 100%, $E$13)</f>
        <v>2.3159000000000001</v>
      </c>
      <c r="K41" s="61">
        <f>2.316 * CHOOSE(CONTROL!$C$19, $C$13, 100%, $E$13)</f>
        <v>2.3159999999999998</v>
      </c>
      <c r="L41" s="4"/>
      <c r="M41" s="4"/>
      <c r="N41" s="4"/>
    </row>
    <row r="42" spans="1:14" ht="15">
      <c r="A42" s="13">
        <v>43132</v>
      </c>
      <c r="B42" s="60">
        <f>2.3751 * CHOOSE(CONTROL!$C$19, $C$13, 100%, $E$13)</f>
        <v>2.3751000000000002</v>
      </c>
      <c r="C42" s="60">
        <f>2.3751 * CHOOSE(CONTROL!$C$19, $C$13, 100%, $E$13)</f>
        <v>2.3751000000000002</v>
      </c>
      <c r="D42" s="60">
        <f>2.3902 * CHOOSE(CONTROL!$C$19, $C$13, 100%, $E$13)</f>
        <v>2.3902000000000001</v>
      </c>
      <c r="E42" s="61">
        <f>2.3174 * CHOOSE(CONTROL!$C$19, $C$13, 100%, $E$13)</f>
        <v>2.3174000000000001</v>
      </c>
      <c r="F42" s="61">
        <f>2.3174 * CHOOSE(CONTROL!$C$19, $C$13, 100%, $E$13)</f>
        <v>2.3174000000000001</v>
      </c>
      <c r="G42" s="61">
        <f>2.3176 * CHOOSE(CONTROL!$C$19, $C$13, 100%, $E$13)</f>
        <v>2.3176000000000001</v>
      </c>
      <c r="H42" s="61">
        <f>4.3957* CHOOSE(CONTROL!$C$19, $C$13, 100%, $E$13)</f>
        <v>4.3956999999999997</v>
      </c>
      <c r="I42" s="61">
        <f>4.3959 * CHOOSE(CONTROL!$C$19, $C$13, 100%, $E$13)</f>
        <v>4.3959000000000001</v>
      </c>
      <c r="J42" s="61">
        <f>2.3174 * CHOOSE(CONTROL!$C$19, $C$13, 100%, $E$13)</f>
        <v>2.3174000000000001</v>
      </c>
      <c r="K42" s="61">
        <f>2.3176 * CHOOSE(CONTROL!$C$19, $C$13, 100%, $E$13)</f>
        <v>2.3176000000000001</v>
      </c>
      <c r="L42" s="4"/>
      <c r="M42" s="4"/>
      <c r="N42" s="4"/>
    </row>
    <row r="43" spans="1:14" ht="15">
      <c r="A43" s="13">
        <v>43160</v>
      </c>
      <c r="B43" s="60">
        <f>2.369 * CHOOSE(CONTROL!$C$19, $C$13, 100%, $E$13)</f>
        <v>2.3690000000000002</v>
      </c>
      <c r="C43" s="60">
        <f>2.369 * CHOOSE(CONTROL!$C$19, $C$13, 100%, $E$13)</f>
        <v>2.3690000000000002</v>
      </c>
      <c r="D43" s="60">
        <f>2.3842 * CHOOSE(CONTROL!$C$19, $C$13, 100%, $E$13)</f>
        <v>2.3841999999999999</v>
      </c>
      <c r="E43" s="61">
        <f>2.3217 * CHOOSE(CONTROL!$C$19, $C$13, 100%, $E$13)</f>
        <v>2.3216999999999999</v>
      </c>
      <c r="F43" s="61">
        <f>2.3217 * CHOOSE(CONTROL!$C$19, $C$13, 100%, $E$13)</f>
        <v>2.3216999999999999</v>
      </c>
      <c r="G43" s="61">
        <f>2.3218 * CHOOSE(CONTROL!$C$19, $C$13, 100%, $E$13)</f>
        <v>2.3218000000000001</v>
      </c>
      <c r="H43" s="61">
        <f>4.4049* CHOOSE(CONTROL!$C$19, $C$13, 100%, $E$13)</f>
        <v>4.4048999999999996</v>
      </c>
      <c r="I43" s="61">
        <f>4.4051 * CHOOSE(CONTROL!$C$19, $C$13, 100%, $E$13)</f>
        <v>4.4051</v>
      </c>
      <c r="J43" s="61">
        <f>2.3217 * CHOOSE(CONTROL!$C$19, $C$13, 100%, $E$13)</f>
        <v>2.3216999999999999</v>
      </c>
      <c r="K43" s="61">
        <f>2.3218 * CHOOSE(CONTROL!$C$19, $C$13, 100%, $E$13)</f>
        <v>2.3218000000000001</v>
      </c>
      <c r="L43" s="4"/>
      <c r="M43" s="4"/>
      <c r="N43" s="4"/>
    </row>
    <row r="44" spans="1:14" ht="15">
      <c r="A44" s="13">
        <v>43191</v>
      </c>
      <c r="B44" s="60">
        <f>2.3629 * CHOOSE(CONTROL!$C$19, $C$13, 100%, $E$13)</f>
        <v>2.3628999999999998</v>
      </c>
      <c r="C44" s="60">
        <f>2.3629 * CHOOSE(CONTROL!$C$19, $C$13, 100%, $E$13)</f>
        <v>2.3628999999999998</v>
      </c>
      <c r="D44" s="60">
        <f>2.3781 * CHOOSE(CONTROL!$C$19, $C$13, 100%, $E$13)</f>
        <v>2.3780999999999999</v>
      </c>
      <c r="E44" s="61">
        <f>2.3286 * CHOOSE(CONTROL!$C$19, $C$13, 100%, $E$13)</f>
        <v>2.3285999999999998</v>
      </c>
      <c r="F44" s="61">
        <f>2.3286 * CHOOSE(CONTROL!$C$19, $C$13, 100%, $E$13)</f>
        <v>2.3285999999999998</v>
      </c>
      <c r="G44" s="61">
        <f>2.3287 * CHOOSE(CONTROL!$C$19, $C$13, 100%, $E$13)</f>
        <v>2.3287</v>
      </c>
      <c r="H44" s="61">
        <f>4.4141* CHOOSE(CONTROL!$C$19, $C$13, 100%, $E$13)</f>
        <v>4.4141000000000004</v>
      </c>
      <c r="I44" s="61">
        <f>4.4142 * CHOOSE(CONTROL!$C$19, $C$13, 100%, $E$13)</f>
        <v>4.4142000000000001</v>
      </c>
      <c r="J44" s="61">
        <f>2.3286 * CHOOSE(CONTROL!$C$19, $C$13, 100%, $E$13)</f>
        <v>2.3285999999999998</v>
      </c>
      <c r="K44" s="61">
        <f>2.3287 * CHOOSE(CONTROL!$C$19, $C$13, 100%, $E$13)</f>
        <v>2.3287</v>
      </c>
      <c r="L44" s="4"/>
      <c r="M44" s="4"/>
      <c r="N44" s="4"/>
    </row>
    <row r="45" spans="1:14" ht="15">
      <c r="A45" s="13">
        <v>43221</v>
      </c>
      <c r="B45" s="60">
        <f>2.3568 * CHOOSE(CONTROL!$C$19, $C$13, 100%, $E$13)</f>
        <v>2.3567999999999998</v>
      </c>
      <c r="C45" s="60">
        <f>2.3568 * CHOOSE(CONTROL!$C$19, $C$13, 100%, $E$13)</f>
        <v>2.3567999999999998</v>
      </c>
      <c r="D45" s="60">
        <f>2.3872 * CHOOSE(CONTROL!$C$19, $C$13, 100%, $E$13)</f>
        <v>2.3872</v>
      </c>
      <c r="E45" s="61">
        <f>2.354 * CHOOSE(CONTROL!$C$19, $C$13, 100%, $E$13)</f>
        <v>2.3540000000000001</v>
      </c>
      <c r="F45" s="61">
        <f>2.354 * CHOOSE(CONTROL!$C$19, $C$13, 100%, $E$13)</f>
        <v>2.3540000000000001</v>
      </c>
      <c r="G45" s="61">
        <f>2.3559 * CHOOSE(CONTROL!$C$19, $C$13, 100%, $E$13)</f>
        <v>2.3559000000000001</v>
      </c>
      <c r="H45" s="61">
        <f>4.4233* CHOOSE(CONTROL!$C$19, $C$13, 100%, $E$13)</f>
        <v>4.4233000000000002</v>
      </c>
      <c r="I45" s="61">
        <f>4.4252 * CHOOSE(CONTROL!$C$19, $C$13, 100%, $E$13)</f>
        <v>4.4252000000000002</v>
      </c>
      <c r="J45" s="61">
        <f>2.354 * CHOOSE(CONTROL!$C$19, $C$13, 100%, $E$13)</f>
        <v>2.3540000000000001</v>
      </c>
      <c r="K45" s="61">
        <f>2.3559 * CHOOSE(CONTROL!$C$19, $C$13, 100%, $E$13)</f>
        <v>2.3559000000000001</v>
      </c>
      <c r="L45" s="4"/>
      <c r="M45" s="4"/>
      <c r="N45" s="4"/>
    </row>
    <row r="46" spans="1:14" ht="15">
      <c r="A46" s="13">
        <v>43252</v>
      </c>
      <c r="B46" s="60">
        <f>2.369 * CHOOSE(CONTROL!$C$19, $C$13, 100%, $E$13)</f>
        <v>2.3690000000000002</v>
      </c>
      <c r="C46" s="60">
        <f>2.369 * CHOOSE(CONTROL!$C$19, $C$13, 100%, $E$13)</f>
        <v>2.3690000000000002</v>
      </c>
      <c r="D46" s="60">
        <f>2.3993 * CHOOSE(CONTROL!$C$19, $C$13, 100%, $E$13)</f>
        <v>2.3993000000000002</v>
      </c>
      <c r="E46" s="61">
        <f>2.3848 * CHOOSE(CONTROL!$C$19, $C$13, 100%, $E$13)</f>
        <v>2.3847999999999998</v>
      </c>
      <c r="F46" s="61">
        <f>2.3848 * CHOOSE(CONTROL!$C$19, $C$13, 100%, $E$13)</f>
        <v>2.3847999999999998</v>
      </c>
      <c r="G46" s="61">
        <f>2.3867 * CHOOSE(CONTROL!$C$19, $C$13, 100%, $E$13)</f>
        <v>2.3866999999999998</v>
      </c>
      <c r="H46" s="61">
        <f>4.4325* CHOOSE(CONTROL!$C$19, $C$13, 100%, $E$13)</f>
        <v>4.4325000000000001</v>
      </c>
      <c r="I46" s="61">
        <f>4.4344 * CHOOSE(CONTROL!$C$19, $C$13, 100%, $E$13)</f>
        <v>4.4344000000000001</v>
      </c>
      <c r="J46" s="61">
        <f>2.3848 * CHOOSE(CONTROL!$C$19, $C$13, 100%, $E$13)</f>
        <v>2.3847999999999998</v>
      </c>
      <c r="K46" s="61">
        <f>2.3867 * CHOOSE(CONTROL!$C$19, $C$13, 100%, $E$13)</f>
        <v>2.3866999999999998</v>
      </c>
      <c r="L46" s="4"/>
      <c r="M46" s="4"/>
      <c r="N46" s="4"/>
    </row>
    <row r="47" spans="1:14" ht="15">
      <c r="A47" s="13">
        <v>43282</v>
      </c>
      <c r="B47" s="60">
        <f>2.3872 * CHOOSE(CONTROL!$C$19, $C$13, 100%, $E$13)</f>
        <v>2.3872</v>
      </c>
      <c r="C47" s="60">
        <f>2.3872 * CHOOSE(CONTROL!$C$19, $C$13, 100%, $E$13)</f>
        <v>2.3872</v>
      </c>
      <c r="D47" s="60">
        <f>2.4176 * CHOOSE(CONTROL!$C$19, $C$13, 100%, $E$13)</f>
        <v>2.4176000000000002</v>
      </c>
      <c r="E47" s="61">
        <f>2.4401 * CHOOSE(CONTROL!$C$19, $C$13, 100%, $E$13)</f>
        <v>2.4401000000000002</v>
      </c>
      <c r="F47" s="61">
        <f>2.4401 * CHOOSE(CONTROL!$C$19, $C$13, 100%, $E$13)</f>
        <v>2.4401000000000002</v>
      </c>
      <c r="G47" s="61">
        <f>2.442 * CHOOSE(CONTROL!$C$19, $C$13, 100%, $E$13)</f>
        <v>2.4420000000000002</v>
      </c>
      <c r="H47" s="61">
        <f>4.4417* CHOOSE(CONTROL!$C$19, $C$13, 100%, $E$13)</f>
        <v>4.4417</v>
      </c>
      <c r="I47" s="61">
        <f>4.4436 * CHOOSE(CONTROL!$C$19, $C$13, 100%, $E$13)</f>
        <v>4.4436</v>
      </c>
      <c r="J47" s="61">
        <f>2.4401 * CHOOSE(CONTROL!$C$19, $C$13, 100%, $E$13)</f>
        <v>2.4401000000000002</v>
      </c>
      <c r="K47" s="61">
        <f>2.442 * CHOOSE(CONTROL!$C$19, $C$13, 100%, $E$13)</f>
        <v>2.4420000000000002</v>
      </c>
      <c r="L47" s="4"/>
      <c r="M47" s="4"/>
      <c r="N47" s="4"/>
    </row>
    <row r="48" spans="1:14" ht="15">
      <c r="A48" s="13">
        <v>43313</v>
      </c>
      <c r="B48" s="60">
        <f>2.4055 * CHOOSE(CONTROL!$C$19, $C$13, 100%, $E$13)</f>
        <v>2.4055</v>
      </c>
      <c r="C48" s="60">
        <f>2.4055 * CHOOSE(CONTROL!$C$19, $C$13, 100%, $E$13)</f>
        <v>2.4055</v>
      </c>
      <c r="D48" s="60">
        <f>2.4358 * CHOOSE(CONTROL!$C$19, $C$13, 100%, $E$13)</f>
        <v>2.4358</v>
      </c>
      <c r="E48" s="61">
        <f>2.4602 * CHOOSE(CONTROL!$C$19, $C$13, 100%, $E$13)</f>
        <v>2.4601999999999999</v>
      </c>
      <c r="F48" s="61">
        <f>2.4602 * CHOOSE(CONTROL!$C$19, $C$13, 100%, $E$13)</f>
        <v>2.4601999999999999</v>
      </c>
      <c r="G48" s="61">
        <f>2.4621 * CHOOSE(CONTROL!$C$19, $C$13, 100%, $E$13)</f>
        <v>2.4621</v>
      </c>
      <c r="H48" s="61">
        <f>4.451* CHOOSE(CONTROL!$C$19, $C$13, 100%, $E$13)</f>
        <v>4.4509999999999996</v>
      </c>
      <c r="I48" s="61">
        <f>4.4529 * CHOOSE(CONTROL!$C$19, $C$13, 100%, $E$13)</f>
        <v>4.4528999999999996</v>
      </c>
      <c r="J48" s="61">
        <f>2.4602 * CHOOSE(CONTROL!$C$19, $C$13, 100%, $E$13)</f>
        <v>2.4601999999999999</v>
      </c>
      <c r="K48" s="61">
        <f>2.4621 * CHOOSE(CONTROL!$C$19, $C$13, 100%, $E$13)</f>
        <v>2.4621</v>
      </c>
      <c r="L48" s="4"/>
      <c r="M48" s="4"/>
      <c r="N48" s="4"/>
    </row>
    <row r="49" spans="1:14" ht="15">
      <c r="A49" s="13">
        <v>43344</v>
      </c>
      <c r="B49" s="60">
        <f>2.3933 * CHOOSE(CONTROL!$C$19, $C$13, 100%, $E$13)</f>
        <v>2.3933</v>
      </c>
      <c r="C49" s="60">
        <f>2.3933 * CHOOSE(CONTROL!$C$19, $C$13, 100%, $E$13)</f>
        <v>2.3933</v>
      </c>
      <c r="D49" s="60">
        <f>2.4237 * CHOOSE(CONTROL!$C$19, $C$13, 100%, $E$13)</f>
        <v>2.4237000000000002</v>
      </c>
      <c r="E49" s="61">
        <f>2.5112 * CHOOSE(CONTROL!$C$19, $C$13, 100%, $E$13)</f>
        <v>2.5112000000000001</v>
      </c>
      <c r="F49" s="61">
        <f>2.5112 * CHOOSE(CONTROL!$C$19, $C$13, 100%, $E$13)</f>
        <v>2.5112000000000001</v>
      </c>
      <c r="G49" s="61">
        <f>2.5131 * CHOOSE(CONTROL!$C$19, $C$13, 100%, $E$13)</f>
        <v>2.5131000000000001</v>
      </c>
      <c r="H49" s="61">
        <f>4.4602* CHOOSE(CONTROL!$C$19, $C$13, 100%, $E$13)</f>
        <v>4.4602000000000004</v>
      </c>
      <c r="I49" s="61">
        <f>4.4621 * CHOOSE(CONTROL!$C$19, $C$13, 100%, $E$13)</f>
        <v>4.4621000000000004</v>
      </c>
      <c r="J49" s="61">
        <f>2.5112 * CHOOSE(CONTROL!$C$19, $C$13, 100%, $E$13)</f>
        <v>2.5112000000000001</v>
      </c>
      <c r="K49" s="61">
        <f>2.5131 * CHOOSE(CONTROL!$C$19, $C$13, 100%, $E$13)</f>
        <v>2.5131000000000001</v>
      </c>
      <c r="L49" s="4"/>
      <c r="M49" s="4"/>
      <c r="N49" s="4"/>
    </row>
    <row r="50" spans="1:14" ht="15">
      <c r="A50" s="13">
        <v>43374</v>
      </c>
      <c r="B50" s="60">
        <f>2.3842 * CHOOSE(CONTROL!$C$19, $C$13, 100%, $E$13)</f>
        <v>2.3841999999999999</v>
      </c>
      <c r="C50" s="60">
        <f>2.3842 * CHOOSE(CONTROL!$C$19, $C$13, 100%, $E$13)</f>
        <v>2.3841999999999999</v>
      </c>
      <c r="D50" s="60">
        <f>2.3994 * CHOOSE(CONTROL!$C$19, $C$13, 100%, $E$13)</f>
        <v>2.3994</v>
      </c>
      <c r="E50" s="61">
        <f>2.4896 * CHOOSE(CONTROL!$C$19, $C$13, 100%, $E$13)</f>
        <v>2.4895999999999998</v>
      </c>
      <c r="F50" s="61">
        <f>2.4896 * CHOOSE(CONTROL!$C$19, $C$13, 100%, $E$13)</f>
        <v>2.4895999999999998</v>
      </c>
      <c r="G50" s="61">
        <f>2.4898 * CHOOSE(CONTROL!$C$19, $C$13, 100%, $E$13)</f>
        <v>2.4897999999999998</v>
      </c>
      <c r="H50" s="61">
        <f>4.4695* CHOOSE(CONTROL!$C$19, $C$13, 100%, $E$13)</f>
        <v>4.4695</v>
      </c>
      <c r="I50" s="61">
        <f>4.4697 * CHOOSE(CONTROL!$C$19, $C$13, 100%, $E$13)</f>
        <v>4.4696999999999996</v>
      </c>
      <c r="J50" s="61">
        <f>2.4896 * CHOOSE(CONTROL!$C$19, $C$13, 100%, $E$13)</f>
        <v>2.4895999999999998</v>
      </c>
      <c r="K50" s="61">
        <f>2.4898 * CHOOSE(CONTROL!$C$19, $C$13, 100%, $E$13)</f>
        <v>2.4897999999999998</v>
      </c>
      <c r="L50" s="4"/>
      <c r="M50" s="4"/>
      <c r="N50" s="4"/>
    </row>
    <row r="51" spans="1:14" ht="15">
      <c r="A51" s="13">
        <v>43405</v>
      </c>
      <c r="B51" s="60">
        <f>2.3963 * CHOOSE(CONTROL!$C$19, $C$13, 100%, $E$13)</f>
        <v>2.3963000000000001</v>
      </c>
      <c r="C51" s="60">
        <f>2.3963 * CHOOSE(CONTROL!$C$19, $C$13, 100%, $E$13)</f>
        <v>2.3963000000000001</v>
      </c>
      <c r="D51" s="60">
        <f>2.4115 * CHOOSE(CONTROL!$C$19, $C$13, 100%, $E$13)</f>
        <v>2.4115000000000002</v>
      </c>
      <c r="E51" s="61">
        <f>2.5159 * CHOOSE(CONTROL!$C$19, $C$13, 100%, $E$13)</f>
        <v>2.5158999999999998</v>
      </c>
      <c r="F51" s="61">
        <f>2.5159 * CHOOSE(CONTROL!$C$19, $C$13, 100%, $E$13)</f>
        <v>2.5158999999999998</v>
      </c>
      <c r="G51" s="61">
        <f>2.5161 * CHOOSE(CONTROL!$C$19, $C$13, 100%, $E$13)</f>
        <v>2.5160999999999998</v>
      </c>
      <c r="H51" s="61">
        <f>4.4788* CHOOSE(CONTROL!$C$19, $C$13, 100%, $E$13)</f>
        <v>4.4787999999999997</v>
      </c>
      <c r="I51" s="61">
        <f>4.479 * CHOOSE(CONTROL!$C$19, $C$13, 100%, $E$13)</f>
        <v>4.4790000000000001</v>
      </c>
      <c r="J51" s="61">
        <f>2.5159 * CHOOSE(CONTROL!$C$19, $C$13, 100%, $E$13)</f>
        <v>2.5158999999999998</v>
      </c>
      <c r="K51" s="61">
        <f>2.5161 * CHOOSE(CONTROL!$C$19, $C$13, 100%, $E$13)</f>
        <v>2.5160999999999998</v>
      </c>
      <c r="L51" s="4"/>
      <c r="M51" s="4"/>
      <c r="N51" s="4"/>
    </row>
    <row r="52" spans="1:14" ht="15">
      <c r="A52" s="13">
        <v>43435</v>
      </c>
      <c r="B52" s="60">
        <f>2.4085 * CHOOSE(CONTROL!$C$19, $C$13, 100%, $E$13)</f>
        <v>2.4085000000000001</v>
      </c>
      <c r="C52" s="60">
        <f>2.4085 * CHOOSE(CONTROL!$C$19, $C$13, 100%, $E$13)</f>
        <v>2.4085000000000001</v>
      </c>
      <c r="D52" s="60">
        <f>2.4237 * CHOOSE(CONTROL!$C$19, $C$13, 100%, $E$13)</f>
        <v>2.4237000000000002</v>
      </c>
      <c r="E52" s="61">
        <f>2.5184 * CHOOSE(CONTROL!$C$19, $C$13, 100%, $E$13)</f>
        <v>2.5184000000000002</v>
      </c>
      <c r="F52" s="61">
        <f>2.5184 * CHOOSE(CONTROL!$C$19, $C$13, 100%, $E$13)</f>
        <v>2.5184000000000002</v>
      </c>
      <c r="G52" s="61">
        <f>2.5185 * CHOOSE(CONTROL!$C$19, $C$13, 100%, $E$13)</f>
        <v>2.5185</v>
      </c>
      <c r="H52" s="61">
        <f>4.4882* CHOOSE(CONTROL!$C$19, $C$13, 100%, $E$13)</f>
        <v>4.4882</v>
      </c>
      <c r="I52" s="61">
        <f>4.4883 * CHOOSE(CONTROL!$C$19, $C$13, 100%, $E$13)</f>
        <v>4.4882999999999997</v>
      </c>
      <c r="J52" s="61">
        <f>2.5184 * CHOOSE(CONTROL!$C$19, $C$13, 100%, $E$13)</f>
        <v>2.5184000000000002</v>
      </c>
      <c r="K52" s="61">
        <f>2.5185 * CHOOSE(CONTROL!$C$19, $C$13, 100%, $E$13)</f>
        <v>2.5185</v>
      </c>
      <c r="L52" s="4"/>
      <c r="M52" s="4"/>
      <c r="N52" s="4"/>
    </row>
    <row r="53" spans="1:14" ht="15">
      <c r="A53" s="13">
        <v>43466</v>
      </c>
      <c r="B53" s="60">
        <f>2.4751 * CHOOSE(CONTROL!$C$19, $C$13, 100%, $E$13)</f>
        <v>2.4750999999999999</v>
      </c>
      <c r="C53" s="60">
        <f>2.4751 * CHOOSE(CONTROL!$C$19, $C$13, 100%, $E$13)</f>
        <v>2.4750999999999999</v>
      </c>
      <c r="D53" s="60">
        <f>2.4903 * CHOOSE(CONTROL!$C$19, $C$13, 100%, $E$13)</f>
        <v>2.4903</v>
      </c>
      <c r="E53" s="61">
        <f>2.5695 * CHOOSE(CONTROL!$C$19, $C$13, 100%, $E$13)</f>
        <v>2.5695000000000001</v>
      </c>
      <c r="F53" s="61">
        <f>2.5695 * CHOOSE(CONTROL!$C$19, $C$13, 100%, $E$13)</f>
        <v>2.5695000000000001</v>
      </c>
      <c r="G53" s="61">
        <f>2.5697 * CHOOSE(CONTROL!$C$19, $C$13, 100%, $E$13)</f>
        <v>2.5697000000000001</v>
      </c>
      <c r="H53" s="61">
        <f>4.4975* CHOOSE(CONTROL!$C$19, $C$13, 100%, $E$13)</f>
        <v>4.4974999999999996</v>
      </c>
      <c r="I53" s="61">
        <f>4.4977 * CHOOSE(CONTROL!$C$19, $C$13, 100%, $E$13)</f>
        <v>4.4977</v>
      </c>
      <c r="J53" s="61">
        <f>2.5695 * CHOOSE(CONTROL!$C$19, $C$13, 100%, $E$13)</f>
        <v>2.5695000000000001</v>
      </c>
      <c r="K53" s="61">
        <f>2.5697 * CHOOSE(CONTROL!$C$19, $C$13, 100%, $E$13)</f>
        <v>2.5697000000000001</v>
      </c>
      <c r="L53" s="4"/>
      <c r="M53" s="4"/>
      <c r="N53" s="4"/>
    </row>
    <row r="54" spans="1:14" ht="15">
      <c r="A54" s="13">
        <v>43497</v>
      </c>
      <c r="B54" s="60">
        <f>2.472 * CHOOSE(CONTROL!$C$19, $C$13, 100%, $E$13)</f>
        <v>2.472</v>
      </c>
      <c r="C54" s="60">
        <f>2.472 * CHOOSE(CONTROL!$C$19, $C$13, 100%, $E$13)</f>
        <v>2.472</v>
      </c>
      <c r="D54" s="60">
        <f>2.4872 * CHOOSE(CONTROL!$C$19, $C$13, 100%, $E$13)</f>
        <v>2.4872000000000001</v>
      </c>
      <c r="E54" s="61">
        <f>2.5537 * CHOOSE(CONTROL!$C$19, $C$13, 100%, $E$13)</f>
        <v>2.5537000000000001</v>
      </c>
      <c r="F54" s="61">
        <f>2.5537 * CHOOSE(CONTROL!$C$19, $C$13, 100%, $E$13)</f>
        <v>2.5537000000000001</v>
      </c>
      <c r="G54" s="61">
        <f>2.5539 * CHOOSE(CONTROL!$C$19, $C$13, 100%, $E$13)</f>
        <v>2.5539000000000001</v>
      </c>
      <c r="H54" s="61">
        <f>4.5069* CHOOSE(CONTROL!$C$19, $C$13, 100%, $E$13)</f>
        <v>4.5068999999999999</v>
      </c>
      <c r="I54" s="61">
        <f>4.5071 * CHOOSE(CONTROL!$C$19, $C$13, 100%, $E$13)</f>
        <v>4.5071000000000003</v>
      </c>
      <c r="J54" s="61">
        <f>2.5537 * CHOOSE(CONTROL!$C$19, $C$13, 100%, $E$13)</f>
        <v>2.5537000000000001</v>
      </c>
      <c r="K54" s="61">
        <f>2.5539 * CHOOSE(CONTROL!$C$19, $C$13, 100%, $E$13)</f>
        <v>2.5539000000000001</v>
      </c>
      <c r="L54" s="4"/>
      <c r="M54" s="4"/>
      <c r="N54" s="4"/>
    </row>
    <row r="55" spans="1:14" ht="15">
      <c r="A55" s="13">
        <v>43525</v>
      </c>
      <c r="B55" s="60">
        <f>2.469 * CHOOSE(CONTROL!$C$19, $C$13, 100%, $E$13)</f>
        <v>2.4689999999999999</v>
      </c>
      <c r="C55" s="60">
        <f>2.469 * CHOOSE(CONTROL!$C$19, $C$13, 100%, $E$13)</f>
        <v>2.4689999999999999</v>
      </c>
      <c r="D55" s="60">
        <f>2.4842 * CHOOSE(CONTROL!$C$19, $C$13, 100%, $E$13)</f>
        <v>2.4842</v>
      </c>
      <c r="E55" s="61">
        <f>2.5624 * CHOOSE(CONTROL!$C$19, $C$13, 100%, $E$13)</f>
        <v>2.5623999999999998</v>
      </c>
      <c r="F55" s="61">
        <f>2.5624 * CHOOSE(CONTROL!$C$19, $C$13, 100%, $E$13)</f>
        <v>2.5623999999999998</v>
      </c>
      <c r="G55" s="61">
        <f>2.5625 * CHOOSE(CONTROL!$C$19, $C$13, 100%, $E$13)</f>
        <v>2.5625</v>
      </c>
      <c r="H55" s="61">
        <f>4.5163* CHOOSE(CONTROL!$C$19, $C$13, 100%, $E$13)</f>
        <v>4.5163000000000002</v>
      </c>
      <c r="I55" s="61">
        <f>4.5165 * CHOOSE(CONTROL!$C$19, $C$13, 100%, $E$13)</f>
        <v>4.5164999999999997</v>
      </c>
      <c r="J55" s="61">
        <f>2.5624 * CHOOSE(CONTROL!$C$19, $C$13, 100%, $E$13)</f>
        <v>2.5623999999999998</v>
      </c>
      <c r="K55" s="61">
        <f>2.5625 * CHOOSE(CONTROL!$C$19, $C$13, 100%, $E$13)</f>
        <v>2.5625</v>
      </c>
      <c r="L55" s="4"/>
      <c r="M55" s="4"/>
      <c r="N55" s="4"/>
    </row>
    <row r="56" spans="1:14" ht="15">
      <c r="A56" s="13">
        <v>43556</v>
      </c>
      <c r="B56" s="60">
        <f>2.4629 * CHOOSE(CONTROL!$C$19, $C$13, 100%, $E$13)</f>
        <v>2.4628999999999999</v>
      </c>
      <c r="C56" s="60">
        <f>2.4629 * CHOOSE(CONTROL!$C$19, $C$13, 100%, $E$13)</f>
        <v>2.4628999999999999</v>
      </c>
      <c r="D56" s="60">
        <f>2.4781 * CHOOSE(CONTROL!$C$19, $C$13, 100%, $E$13)</f>
        <v>2.4781</v>
      </c>
      <c r="E56" s="61">
        <f>2.5697 * CHOOSE(CONTROL!$C$19, $C$13, 100%, $E$13)</f>
        <v>2.5697000000000001</v>
      </c>
      <c r="F56" s="61">
        <f>2.5697 * CHOOSE(CONTROL!$C$19, $C$13, 100%, $E$13)</f>
        <v>2.5697000000000001</v>
      </c>
      <c r="G56" s="61">
        <f>2.5699 * CHOOSE(CONTROL!$C$19, $C$13, 100%, $E$13)</f>
        <v>2.5699000000000001</v>
      </c>
      <c r="H56" s="61">
        <f>4.5257* CHOOSE(CONTROL!$C$19, $C$13, 100%, $E$13)</f>
        <v>4.5256999999999996</v>
      </c>
      <c r="I56" s="61">
        <f>4.5259 * CHOOSE(CONTROL!$C$19, $C$13, 100%, $E$13)</f>
        <v>4.5259</v>
      </c>
      <c r="J56" s="61">
        <f>2.5697 * CHOOSE(CONTROL!$C$19, $C$13, 100%, $E$13)</f>
        <v>2.5697000000000001</v>
      </c>
      <c r="K56" s="61">
        <f>2.5699 * CHOOSE(CONTROL!$C$19, $C$13, 100%, $E$13)</f>
        <v>2.5699000000000001</v>
      </c>
      <c r="L56" s="4"/>
      <c r="M56" s="4"/>
      <c r="N56" s="4"/>
    </row>
    <row r="57" spans="1:14" ht="15">
      <c r="A57" s="13">
        <v>43586</v>
      </c>
      <c r="B57" s="60">
        <f>2.4629 * CHOOSE(CONTROL!$C$19, $C$13, 100%, $E$13)</f>
        <v>2.4628999999999999</v>
      </c>
      <c r="C57" s="60">
        <f>2.4629 * CHOOSE(CONTROL!$C$19, $C$13, 100%, $E$13)</f>
        <v>2.4628999999999999</v>
      </c>
      <c r="D57" s="60">
        <f>2.4933 * CHOOSE(CONTROL!$C$19, $C$13, 100%, $E$13)</f>
        <v>2.4933000000000001</v>
      </c>
      <c r="E57" s="61">
        <f>2.574 * CHOOSE(CONTROL!$C$19, $C$13, 100%, $E$13)</f>
        <v>2.5739999999999998</v>
      </c>
      <c r="F57" s="61">
        <f>2.574 * CHOOSE(CONTROL!$C$19, $C$13, 100%, $E$13)</f>
        <v>2.5739999999999998</v>
      </c>
      <c r="G57" s="61">
        <f>2.5759 * CHOOSE(CONTROL!$C$19, $C$13, 100%, $E$13)</f>
        <v>2.5758999999999999</v>
      </c>
      <c r="H57" s="61">
        <f>4.5351* CHOOSE(CONTROL!$C$19, $C$13, 100%, $E$13)</f>
        <v>4.5350999999999999</v>
      </c>
      <c r="I57" s="61">
        <f>4.537 * CHOOSE(CONTROL!$C$19, $C$13, 100%, $E$13)</f>
        <v>4.5369999999999999</v>
      </c>
      <c r="J57" s="61">
        <f>2.574 * CHOOSE(CONTROL!$C$19, $C$13, 100%, $E$13)</f>
        <v>2.5739999999999998</v>
      </c>
      <c r="K57" s="61">
        <f>2.5759 * CHOOSE(CONTROL!$C$19, $C$13, 100%, $E$13)</f>
        <v>2.5758999999999999</v>
      </c>
      <c r="L57" s="4"/>
      <c r="M57" s="4"/>
      <c r="N57" s="4"/>
    </row>
    <row r="58" spans="1:14" ht="15">
      <c r="A58" s="13">
        <v>43617</v>
      </c>
      <c r="B58" s="60">
        <f>2.469 * CHOOSE(CONTROL!$C$19, $C$13, 100%, $E$13)</f>
        <v>2.4689999999999999</v>
      </c>
      <c r="C58" s="60">
        <f>2.469 * CHOOSE(CONTROL!$C$19, $C$13, 100%, $E$13)</f>
        <v>2.4689999999999999</v>
      </c>
      <c r="D58" s="60">
        <f>2.4994 * CHOOSE(CONTROL!$C$19, $C$13, 100%, $E$13)</f>
        <v>2.4994000000000001</v>
      </c>
      <c r="E58" s="61">
        <f>2.5739 * CHOOSE(CONTROL!$C$19, $C$13, 100%, $E$13)</f>
        <v>2.5739000000000001</v>
      </c>
      <c r="F58" s="61">
        <f>2.5739 * CHOOSE(CONTROL!$C$19, $C$13, 100%, $E$13)</f>
        <v>2.5739000000000001</v>
      </c>
      <c r="G58" s="61">
        <f>2.5758 * CHOOSE(CONTROL!$C$19, $C$13, 100%, $E$13)</f>
        <v>2.5758000000000001</v>
      </c>
      <c r="H58" s="61">
        <f>4.5446* CHOOSE(CONTROL!$C$19, $C$13, 100%, $E$13)</f>
        <v>4.5446</v>
      </c>
      <c r="I58" s="61">
        <f>4.5465 * CHOOSE(CONTROL!$C$19, $C$13, 100%, $E$13)</f>
        <v>4.5465</v>
      </c>
      <c r="J58" s="61">
        <f>2.5739 * CHOOSE(CONTROL!$C$19, $C$13, 100%, $E$13)</f>
        <v>2.5739000000000001</v>
      </c>
      <c r="K58" s="61">
        <f>2.5758 * CHOOSE(CONTROL!$C$19, $C$13, 100%, $E$13)</f>
        <v>2.5758000000000001</v>
      </c>
      <c r="L58" s="4"/>
      <c r="M58" s="4"/>
      <c r="N58" s="4"/>
    </row>
    <row r="59" spans="1:14" ht="15">
      <c r="A59" s="13">
        <v>43647</v>
      </c>
      <c r="B59" s="60">
        <f>2.4964 * CHOOSE(CONTROL!$C$19, $C$13, 100%, $E$13)</f>
        <v>2.4964</v>
      </c>
      <c r="C59" s="60">
        <f>2.4964 * CHOOSE(CONTROL!$C$19, $C$13, 100%, $E$13)</f>
        <v>2.4964</v>
      </c>
      <c r="D59" s="60">
        <f>2.5268 * CHOOSE(CONTROL!$C$19, $C$13, 100%, $E$13)</f>
        <v>2.5268000000000002</v>
      </c>
      <c r="E59" s="61">
        <f>2.6157 * CHOOSE(CONTROL!$C$19, $C$13, 100%, $E$13)</f>
        <v>2.6156999999999999</v>
      </c>
      <c r="F59" s="61">
        <f>2.6157 * CHOOSE(CONTROL!$C$19, $C$13, 100%, $E$13)</f>
        <v>2.6156999999999999</v>
      </c>
      <c r="G59" s="61">
        <f>2.6176 * CHOOSE(CONTROL!$C$19, $C$13, 100%, $E$13)</f>
        <v>2.6175999999999999</v>
      </c>
      <c r="H59" s="61">
        <f>4.554* CHOOSE(CONTROL!$C$19, $C$13, 100%, $E$13)</f>
        <v>4.5540000000000003</v>
      </c>
      <c r="I59" s="61">
        <f>4.5559 * CHOOSE(CONTROL!$C$19, $C$13, 100%, $E$13)</f>
        <v>4.5559000000000003</v>
      </c>
      <c r="J59" s="61">
        <f>2.6157 * CHOOSE(CONTROL!$C$19, $C$13, 100%, $E$13)</f>
        <v>2.6156999999999999</v>
      </c>
      <c r="K59" s="61">
        <f>2.6176 * CHOOSE(CONTROL!$C$19, $C$13, 100%, $E$13)</f>
        <v>2.6175999999999999</v>
      </c>
      <c r="L59" s="4"/>
      <c r="M59" s="4"/>
      <c r="N59" s="4"/>
    </row>
    <row r="60" spans="1:14" ht="15">
      <c r="A60" s="13">
        <v>43678</v>
      </c>
      <c r="B60" s="60">
        <f>2.5031 * CHOOSE(CONTROL!$C$19, $C$13, 100%, $E$13)</f>
        <v>2.5030999999999999</v>
      </c>
      <c r="C60" s="60">
        <f>2.5031 * CHOOSE(CONTROL!$C$19, $C$13, 100%, $E$13)</f>
        <v>2.5030999999999999</v>
      </c>
      <c r="D60" s="60">
        <f>2.5335 * CHOOSE(CONTROL!$C$19, $C$13, 100%, $E$13)</f>
        <v>2.5335000000000001</v>
      </c>
      <c r="E60" s="61">
        <f>2.6074 * CHOOSE(CONTROL!$C$19, $C$13, 100%, $E$13)</f>
        <v>2.6074000000000002</v>
      </c>
      <c r="F60" s="61">
        <f>2.6074 * CHOOSE(CONTROL!$C$19, $C$13, 100%, $E$13)</f>
        <v>2.6074000000000002</v>
      </c>
      <c r="G60" s="61">
        <f>2.6093 * CHOOSE(CONTROL!$C$19, $C$13, 100%, $E$13)</f>
        <v>2.6093000000000002</v>
      </c>
      <c r="H60" s="61">
        <f>4.5635* CHOOSE(CONTROL!$C$19, $C$13, 100%, $E$13)</f>
        <v>4.5635000000000003</v>
      </c>
      <c r="I60" s="61">
        <f>4.5654 * CHOOSE(CONTROL!$C$19, $C$13, 100%, $E$13)</f>
        <v>4.5654000000000003</v>
      </c>
      <c r="J60" s="61">
        <f>2.6074 * CHOOSE(CONTROL!$C$19, $C$13, 100%, $E$13)</f>
        <v>2.6074000000000002</v>
      </c>
      <c r="K60" s="61">
        <f>2.6093 * CHOOSE(CONTROL!$C$19, $C$13, 100%, $E$13)</f>
        <v>2.6093000000000002</v>
      </c>
      <c r="L60" s="4"/>
      <c r="M60" s="4"/>
      <c r="N60" s="4"/>
    </row>
    <row r="61" spans="1:14" ht="15">
      <c r="A61" s="13">
        <v>43709</v>
      </c>
      <c r="B61" s="60">
        <f>2.5001 * CHOOSE(CONTROL!$C$19, $C$13, 100%, $E$13)</f>
        <v>2.5001000000000002</v>
      </c>
      <c r="C61" s="60">
        <f>2.5001 * CHOOSE(CONTROL!$C$19, $C$13, 100%, $E$13)</f>
        <v>2.5001000000000002</v>
      </c>
      <c r="D61" s="60">
        <f>2.5304 * CHOOSE(CONTROL!$C$19, $C$13, 100%, $E$13)</f>
        <v>2.5304000000000002</v>
      </c>
      <c r="E61" s="61">
        <f>2.6038 * CHOOSE(CONTROL!$C$19, $C$13, 100%, $E$13)</f>
        <v>2.6038000000000001</v>
      </c>
      <c r="F61" s="61">
        <f>2.6038 * CHOOSE(CONTROL!$C$19, $C$13, 100%, $E$13)</f>
        <v>2.6038000000000001</v>
      </c>
      <c r="G61" s="61">
        <f>2.6057 * CHOOSE(CONTROL!$C$19, $C$13, 100%, $E$13)</f>
        <v>2.6057000000000001</v>
      </c>
      <c r="H61" s="61">
        <f>4.573* CHOOSE(CONTROL!$C$19, $C$13, 100%, $E$13)</f>
        <v>4.5730000000000004</v>
      </c>
      <c r="I61" s="61">
        <f>4.5749 * CHOOSE(CONTROL!$C$19, $C$13, 100%, $E$13)</f>
        <v>4.5749000000000004</v>
      </c>
      <c r="J61" s="61">
        <f>2.6038 * CHOOSE(CONTROL!$C$19, $C$13, 100%, $E$13)</f>
        <v>2.6038000000000001</v>
      </c>
      <c r="K61" s="61">
        <f>2.6057 * CHOOSE(CONTROL!$C$19, $C$13, 100%, $E$13)</f>
        <v>2.6057000000000001</v>
      </c>
      <c r="L61" s="4"/>
      <c r="M61" s="4"/>
      <c r="N61" s="4"/>
    </row>
    <row r="62" spans="1:14" ht="15">
      <c r="A62" s="13">
        <v>43739</v>
      </c>
      <c r="B62" s="60">
        <f>2.4808 * CHOOSE(CONTROL!$C$19, $C$13, 100%, $E$13)</f>
        <v>2.4807999999999999</v>
      </c>
      <c r="C62" s="60">
        <f>2.4808 * CHOOSE(CONTROL!$C$19, $C$13, 100%, $E$13)</f>
        <v>2.4807999999999999</v>
      </c>
      <c r="D62" s="60">
        <f>2.496 * CHOOSE(CONTROL!$C$19, $C$13, 100%, $E$13)</f>
        <v>2.496</v>
      </c>
      <c r="E62" s="61">
        <f>2.5962 * CHOOSE(CONTROL!$C$19, $C$13, 100%, $E$13)</f>
        <v>2.5962000000000001</v>
      </c>
      <c r="F62" s="61">
        <f>2.5962 * CHOOSE(CONTROL!$C$19, $C$13, 100%, $E$13)</f>
        <v>2.5962000000000001</v>
      </c>
      <c r="G62" s="61">
        <f>2.5963 * CHOOSE(CONTROL!$C$19, $C$13, 100%, $E$13)</f>
        <v>2.5962999999999998</v>
      </c>
      <c r="H62" s="61">
        <f>4.5825* CHOOSE(CONTROL!$C$19, $C$13, 100%, $E$13)</f>
        <v>4.5824999999999996</v>
      </c>
      <c r="I62" s="61">
        <f>4.5827 * CHOOSE(CONTROL!$C$19, $C$13, 100%, $E$13)</f>
        <v>4.5827</v>
      </c>
      <c r="J62" s="61">
        <f>2.5962 * CHOOSE(CONTROL!$C$19, $C$13, 100%, $E$13)</f>
        <v>2.5962000000000001</v>
      </c>
      <c r="K62" s="61">
        <f>2.5963 * CHOOSE(CONTROL!$C$19, $C$13, 100%, $E$13)</f>
        <v>2.5962999999999998</v>
      </c>
      <c r="L62" s="4"/>
      <c r="M62" s="4"/>
      <c r="N62" s="4"/>
    </row>
    <row r="63" spans="1:14" ht="15">
      <c r="A63" s="13">
        <v>43770</v>
      </c>
      <c r="B63" s="60">
        <f>2.4839 * CHOOSE(CONTROL!$C$19, $C$13, 100%, $E$13)</f>
        <v>2.4839000000000002</v>
      </c>
      <c r="C63" s="60">
        <f>2.4839 * CHOOSE(CONTROL!$C$19, $C$13, 100%, $E$13)</f>
        <v>2.4839000000000002</v>
      </c>
      <c r="D63" s="60">
        <f>2.4991 * CHOOSE(CONTROL!$C$19, $C$13, 100%, $E$13)</f>
        <v>2.4990999999999999</v>
      </c>
      <c r="E63" s="61">
        <f>2.6012 * CHOOSE(CONTROL!$C$19, $C$13, 100%, $E$13)</f>
        <v>2.6012</v>
      </c>
      <c r="F63" s="61">
        <f>2.6012 * CHOOSE(CONTROL!$C$19, $C$13, 100%, $E$13)</f>
        <v>2.6012</v>
      </c>
      <c r="G63" s="61">
        <f>2.6013 * CHOOSE(CONTROL!$C$19, $C$13, 100%, $E$13)</f>
        <v>2.6013000000000002</v>
      </c>
      <c r="H63" s="61">
        <f>4.5921* CHOOSE(CONTROL!$C$19, $C$13, 100%, $E$13)</f>
        <v>4.5921000000000003</v>
      </c>
      <c r="I63" s="61">
        <f>4.5923 * CHOOSE(CONTROL!$C$19, $C$13, 100%, $E$13)</f>
        <v>4.5922999999999998</v>
      </c>
      <c r="J63" s="61">
        <f>2.6012 * CHOOSE(CONTROL!$C$19, $C$13, 100%, $E$13)</f>
        <v>2.6012</v>
      </c>
      <c r="K63" s="61">
        <f>2.6013 * CHOOSE(CONTROL!$C$19, $C$13, 100%, $E$13)</f>
        <v>2.6013000000000002</v>
      </c>
      <c r="L63" s="4"/>
      <c r="M63" s="4"/>
      <c r="N63" s="4"/>
    </row>
    <row r="64" spans="1:14" ht="15">
      <c r="A64" s="13">
        <v>43800</v>
      </c>
      <c r="B64" s="60">
        <f>2.4839 * CHOOSE(CONTROL!$C$19, $C$13, 100%, $E$13)</f>
        <v>2.4839000000000002</v>
      </c>
      <c r="C64" s="60">
        <f>2.4839 * CHOOSE(CONTROL!$C$19, $C$13, 100%, $E$13)</f>
        <v>2.4839000000000002</v>
      </c>
      <c r="D64" s="60">
        <f>2.4991 * CHOOSE(CONTROL!$C$19, $C$13, 100%, $E$13)</f>
        <v>2.4990999999999999</v>
      </c>
      <c r="E64" s="61">
        <f>2.5939 * CHOOSE(CONTROL!$C$19, $C$13, 100%, $E$13)</f>
        <v>2.5939000000000001</v>
      </c>
      <c r="F64" s="61">
        <f>2.5939 * CHOOSE(CONTROL!$C$19, $C$13, 100%, $E$13)</f>
        <v>2.5939000000000001</v>
      </c>
      <c r="G64" s="61">
        <f>2.5941 * CHOOSE(CONTROL!$C$19, $C$13, 100%, $E$13)</f>
        <v>2.5941000000000001</v>
      </c>
      <c r="H64" s="61">
        <f>4.6017* CHOOSE(CONTROL!$C$19, $C$13, 100%, $E$13)</f>
        <v>4.6017000000000001</v>
      </c>
      <c r="I64" s="61">
        <f>4.6018 * CHOOSE(CONTROL!$C$19, $C$13, 100%, $E$13)</f>
        <v>4.6017999999999999</v>
      </c>
      <c r="J64" s="61">
        <f>2.5939 * CHOOSE(CONTROL!$C$19, $C$13, 100%, $E$13)</f>
        <v>2.5939000000000001</v>
      </c>
      <c r="K64" s="61">
        <f>2.5941 * CHOOSE(CONTROL!$C$19, $C$13, 100%, $E$13)</f>
        <v>2.5941000000000001</v>
      </c>
      <c r="L64" s="4"/>
      <c r="M64" s="4"/>
      <c r="N64" s="4"/>
    </row>
    <row r="65" spans="1:14" ht="15">
      <c r="A65" s="13">
        <v>43831</v>
      </c>
      <c r="B65" s="60">
        <f>2.6884 * CHOOSE(CONTROL!$C$19, $C$13, 100%, $E$13)</f>
        <v>2.6884000000000001</v>
      </c>
      <c r="C65" s="60">
        <f>2.6884 * CHOOSE(CONTROL!$C$19, $C$13, 100%, $E$13)</f>
        <v>2.6884000000000001</v>
      </c>
      <c r="D65" s="60">
        <f>2.7036 * CHOOSE(CONTROL!$C$19, $C$13, 100%, $E$13)</f>
        <v>2.7035999999999998</v>
      </c>
      <c r="E65" s="61">
        <f>2.6809 * CHOOSE(CONTROL!$C$19, $C$13, 100%, $E$13)</f>
        <v>2.6808999999999998</v>
      </c>
      <c r="F65" s="61">
        <f>2.6809 * CHOOSE(CONTROL!$C$19, $C$13, 100%, $E$13)</f>
        <v>2.6808999999999998</v>
      </c>
      <c r="G65" s="61">
        <f>2.6811 * CHOOSE(CONTROL!$C$19, $C$13, 100%, $E$13)</f>
        <v>2.6810999999999998</v>
      </c>
      <c r="H65" s="61">
        <f>4.6112* CHOOSE(CONTROL!$C$19, $C$13, 100%, $E$13)</f>
        <v>4.6112000000000002</v>
      </c>
      <c r="I65" s="61">
        <f>4.6114 * CHOOSE(CONTROL!$C$19, $C$13, 100%, $E$13)</f>
        <v>4.6113999999999997</v>
      </c>
      <c r="J65" s="61">
        <f>2.6809 * CHOOSE(CONTROL!$C$19, $C$13, 100%, $E$13)</f>
        <v>2.6808999999999998</v>
      </c>
      <c r="K65" s="61">
        <f>2.6811 * CHOOSE(CONTROL!$C$19, $C$13, 100%, $E$13)</f>
        <v>2.6810999999999998</v>
      </c>
      <c r="L65" s="4"/>
      <c r="M65" s="4"/>
      <c r="N65" s="4"/>
    </row>
    <row r="66" spans="1:14" ht="15">
      <c r="A66" s="13">
        <v>43862</v>
      </c>
      <c r="B66" s="60">
        <f>2.6854 * CHOOSE(CONTROL!$C$19, $C$13, 100%, $E$13)</f>
        <v>2.6854</v>
      </c>
      <c r="C66" s="60">
        <f>2.6854 * CHOOSE(CONTROL!$C$19, $C$13, 100%, $E$13)</f>
        <v>2.6854</v>
      </c>
      <c r="D66" s="60">
        <f>2.7006 * CHOOSE(CONTROL!$C$19, $C$13, 100%, $E$13)</f>
        <v>2.7006000000000001</v>
      </c>
      <c r="E66" s="61">
        <f>2.6621 * CHOOSE(CONTROL!$C$19, $C$13, 100%, $E$13)</f>
        <v>2.6621000000000001</v>
      </c>
      <c r="F66" s="61">
        <f>2.6621 * CHOOSE(CONTROL!$C$19, $C$13, 100%, $E$13)</f>
        <v>2.6621000000000001</v>
      </c>
      <c r="G66" s="61">
        <f>2.6623 * CHOOSE(CONTROL!$C$19, $C$13, 100%, $E$13)</f>
        <v>2.6623000000000001</v>
      </c>
      <c r="H66" s="61">
        <f>4.6209* CHOOSE(CONTROL!$C$19, $C$13, 100%, $E$13)</f>
        <v>4.6208999999999998</v>
      </c>
      <c r="I66" s="61">
        <f>4.621 * CHOOSE(CONTROL!$C$19, $C$13, 100%, $E$13)</f>
        <v>4.6210000000000004</v>
      </c>
      <c r="J66" s="61">
        <f>2.6621 * CHOOSE(CONTROL!$C$19, $C$13, 100%, $E$13)</f>
        <v>2.6621000000000001</v>
      </c>
      <c r="K66" s="61">
        <f>2.6623 * CHOOSE(CONTROL!$C$19, $C$13, 100%, $E$13)</f>
        <v>2.6623000000000001</v>
      </c>
      <c r="L66" s="4"/>
      <c r="M66" s="4"/>
      <c r="N66" s="4"/>
    </row>
    <row r="67" spans="1:14" ht="15">
      <c r="A67" s="13">
        <v>43891</v>
      </c>
      <c r="B67" s="60">
        <f>2.6823 * CHOOSE(CONTROL!$C$19, $C$13, 100%, $E$13)</f>
        <v>2.6823000000000001</v>
      </c>
      <c r="C67" s="60">
        <f>2.6823 * CHOOSE(CONTROL!$C$19, $C$13, 100%, $E$13)</f>
        <v>2.6823000000000001</v>
      </c>
      <c r="D67" s="60">
        <f>2.6975 * CHOOSE(CONTROL!$C$19, $C$13, 100%, $E$13)</f>
        <v>2.6974999999999998</v>
      </c>
      <c r="E67" s="61">
        <f>2.6731 * CHOOSE(CONTROL!$C$19, $C$13, 100%, $E$13)</f>
        <v>2.6730999999999998</v>
      </c>
      <c r="F67" s="61">
        <f>2.6731 * CHOOSE(CONTROL!$C$19, $C$13, 100%, $E$13)</f>
        <v>2.6730999999999998</v>
      </c>
      <c r="G67" s="61">
        <f>2.6733 * CHOOSE(CONTROL!$C$19, $C$13, 100%, $E$13)</f>
        <v>2.6732999999999998</v>
      </c>
      <c r="H67" s="61">
        <f>4.6305* CHOOSE(CONTROL!$C$19, $C$13, 100%, $E$13)</f>
        <v>4.6304999999999996</v>
      </c>
      <c r="I67" s="61">
        <f>4.6307 * CHOOSE(CONTROL!$C$19, $C$13, 100%, $E$13)</f>
        <v>4.6307</v>
      </c>
      <c r="J67" s="61">
        <f>2.6731 * CHOOSE(CONTROL!$C$19, $C$13, 100%, $E$13)</f>
        <v>2.6730999999999998</v>
      </c>
      <c r="K67" s="61">
        <f>2.6733 * CHOOSE(CONTROL!$C$19, $C$13, 100%, $E$13)</f>
        <v>2.6732999999999998</v>
      </c>
      <c r="L67" s="4"/>
      <c r="M67" s="4"/>
      <c r="N67" s="4"/>
    </row>
    <row r="68" spans="1:14" ht="15">
      <c r="A68" s="13">
        <v>43922</v>
      </c>
      <c r="B68" s="60">
        <f>2.6788 * CHOOSE(CONTROL!$C$19, $C$13, 100%, $E$13)</f>
        <v>2.6787999999999998</v>
      </c>
      <c r="C68" s="60">
        <f>2.6788 * CHOOSE(CONTROL!$C$19, $C$13, 100%, $E$13)</f>
        <v>2.6787999999999998</v>
      </c>
      <c r="D68" s="60">
        <f>2.694 * CHOOSE(CONTROL!$C$19, $C$13, 100%, $E$13)</f>
        <v>2.694</v>
      </c>
      <c r="E68" s="61">
        <f>2.683 * CHOOSE(CONTROL!$C$19, $C$13, 100%, $E$13)</f>
        <v>2.6829999999999998</v>
      </c>
      <c r="F68" s="61">
        <f>2.683 * CHOOSE(CONTROL!$C$19, $C$13, 100%, $E$13)</f>
        <v>2.6829999999999998</v>
      </c>
      <c r="G68" s="61">
        <f>2.6832 * CHOOSE(CONTROL!$C$19, $C$13, 100%, $E$13)</f>
        <v>2.6831999999999998</v>
      </c>
      <c r="H68" s="61">
        <f>4.6401* CHOOSE(CONTROL!$C$19, $C$13, 100%, $E$13)</f>
        <v>4.6401000000000003</v>
      </c>
      <c r="I68" s="61">
        <f>4.6403 * CHOOSE(CONTROL!$C$19, $C$13, 100%, $E$13)</f>
        <v>4.6402999999999999</v>
      </c>
      <c r="J68" s="61">
        <f>2.683 * CHOOSE(CONTROL!$C$19, $C$13, 100%, $E$13)</f>
        <v>2.6829999999999998</v>
      </c>
      <c r="K68" s="61">
        <f>2.6832 * CHOOSE(CONTROL!$C$19, $C$13, 100%, $E$13)</f>
        <v>2.6831999999999998</v>
      </c>
      <c r="L68" s="4"/>
      <c r="M68" s="4"/>
      <c r="N68" s="4"/>
    </row>
    <row r="69" spans="1:14" ht="15">
      <c r="A69" s="13">
        <v>43952</v>
      </c>
      <c r="B69" s="60">
        <f>2.6788 * CHOOSE(CONTROL!$C$19, $C$13, 100%, $E$13)</f>
        <v>2.6787999999999998</v>
      </c>
      <c r="C69" s="60">
        <f>2.6788 * CHOOSE(CONTROL!$C$19, $C$13, 100%, $E$13)</f>
        <v>2.6787999999999998</v>
      </c>
      <c r="D69" s="60">
        <f>2.7091 * CHOOSE(CONTROL!$C$19, $C$13, 100%, $E$13)</f>
        <v>2.7090999999999998</v>
      </c>
      <c r="E69" s="61">
        <f>2.6883 * CHOOSE(CONTROL!$C$19, $C$13, 100%, $E$13)</f>
        <v>2.6882999999999999</v>
      </c>
      <c r="F69" s="61">
        <f>2.6883 * CHOOSE(CONTROL!$C$19, $C$13, 100%, $E$13)</f>
        <v>2.6882999999999999</v>
      </c>
      <c r="G69" s="61">
        <f>2.6902 * CHOOSE(CONTROL!$C$19, $C$13, 100%, $E$13)</f>
        <v>2.6901999999999999</v>
      </c>
      <c r="H69" s="61">
        <f>4.6498* CHOOSE(CONTROL!$C$19, $C$13, 100%, $E$13)</f>
        <v>4.6497999999999999</v>
      </c>
      <c r="I69" s="61">
        <f>4.6517 * CHOOSE(CONTROL!$C$19, $C$13, 100%, $E$13)</f>
        <v>4.6516999999999999</v>
      </c>
      <c r="J69" s="61">
        <f>2.6883 * CHOOSE(CONTROL!$C$19, $C$13, 100%, $E$13)</f>
        <v>2.6882999999999999</v>
      </c>
      <c r="K69" s="61">
        <f>2.6902 * CHOOSE(CONTROL!$C$19, $C$13, 100%, $E$13)</f>
        <v>2.6901999999999999</v>
      </c>
      <c r="L69" s="4"/>
      <c r="M69" s="4"/>
      <c r="N69" s="4"/>
    </row>
    <row r="70" spans="1:14" ht="15">
      <c r="A70" s="13">
        <v>43983</v>
      </c>
      <c r="B70" s="60">
        <f>2.6848 * CHOOSE(CONTROL!$C$19, $C$13, 100%, $E$13)</f>
        <v>2.6848000000000001</v>
      </c>
      <c r="C70" s="60">
        <f>2.6848 * CHOOSE(CONTROL!$C$19, $C$13, 100%, $E$13)</f>
        <v>2.6848000000000001</v>
      </c>
      <c r="D70" s="60">
        <f>2.7152 * CHOOSE(CONTROL!$C$19, $C$13, 100%, $E$13)</f>
        <v>2.7151999999999998</v>
      </c>
      <c r="E70" s="61">
        <f>2.6872 * CHOOSE(CONTROL!$C$19, $C$13, 100%, $E$13)</f>
        <v>2.6871999999999998</v>
      </c>
      <c r="F70" s="61">
        <f>2.6872 * CHOOSE(CONTROL!$C$19, $C$13, 100%, $E$13)</f>
        <v>2.6871999999999998</v>
      </c>
      <c r="G70" s="61">
        <f>2.6891 * CHOOSE(CONTROL!$C$19, $C$13, 100%, $E$13)</f>
        <v>2.6890999999999998</v>
      </c>
      <c r="H70" s="61">
        <f>4.6595* CHOOSE(CONTROL!$C$19, $C$13, 100%, $E$13)</f>
        <v>4.6595000000000004</v>
      </c>
      <c r="I70" s="61">
        <f>4.6614 * CHOOSE(CONTROL!$C$19, $C$13, 100%, $E$13)</f>
        <v>4.6614000000000004</v>
      </c>
      <c r="J70" s="61">
        <f>2.6872 * CHOOSE(CONTROL!$C$19, $C$13, 100%, $E$13)</f>
        <v>2.6871999999999998</v>
      </c>
      <c r="K70" s="61">
        <f>2.6891 * CHOOSE(CONTROL!$C$19, $C$13, 100%, $E$13)</f>
        <v>2.6890999999999998</v>
      </c>
      <c r="L70" s="4"/>
      <c r="M70" s="4"/>
      <c r="N70" s="4"/>
    </row>
    <row r="71" spans="1:14" ht="15">
      <c r="A71" s="13">
        <v>44013</v>
      </c>
      <c r="B71" s="60">
        <f>2.7801 * CHOOSE(CONTROL!$C$19, $C$13, 100%, $E$13)</f>
        <v>2.7801</v>
      </c>
      <c r="C71" s="60">
        <f>2.7801 * CHOOSE(CONTROL!$C$19, $C$13, 100%, $E$13)</f>
        <v>2.7801</v>
      </c>
      <c r="D71" s="60">
        <f>2.8104 * CHOOSE(CONTROL!$C$19, $C$13, 100%, $E$13)</f>
        <v>2.8104</v>
      </c>
      <c r="E71" s="61">
        <f>2.8193 * CHOOSE(CONTROL!$C$19, $C$13, 100%, $E$13)</f>
        <v>2.8193000000000001</v>
      </c>
      <c r="F71" s="61">
        <f>2.8193 * CHOOSE(CONTROL!$C$19, $C$13, 100%, $E$13)</f>
        <v>2.8193000000000001</v>
      </c>
      <c r="G71" s="61">
        <f>2.8212 * CHOOSE(CONTROL!$C$19, $C$13, 100%, $E$13)</f>
        <v>2.8212000000000002</v>
      </c>
      <c r="H71" s="61">
        <f>4.6692* CHOOSE(CONTROL!$C$19, $C$13, 100%, $E$13)</f>
        <v>4.6692</v>
      </c>
      <c r="I71" s="61">
        <f>4.6711 * CHOOSE(CONTROL!$C$19, $C$13, 100%, $E$13)</f>
        <v>4.6711</v>
      </c>
      <c r="J71" s="61">
        <f>2.8193 * CHOOSE(CONTROL!$C$19, $C$13, 100%, $E$13)</f>
        <v>2.8193000000000001</v>
      </c>
      <c r="K71" s="61">
        <f>2.8212 * CHOOSE(CONTROL!$C$19, $C$13, 100%, $E$13)</f>
        <v>2.8212000000000002</v>
      </c>
      <c r="L71" s="4"/>
      <c r="M71" s="4"/>
      <c r="N71" s="4"/>
    </row>
    <row r="72" spans="1:14" ht="15">
      <c r="A72" s="13">
        <v>44044</v>
      </c>
      <c r="B72" s="60">
        <f>2.7867 * CHOOSE(CONTROL!$C$19, $C$13, 100%, $E$13)</f>
        <v>2.7867000000000002</v>
      </c>
      <c r="C72" s="60">
        <f>2.7867 * CHOOSE(CONTROL!$C$19, $C$13, 100%, $E$13)</f>
        <v>2.7867000000000002</v>
      </c>
      <c r="D72" s="60">
        <f>2.8171 * CHOOSE(CONTROL!$C$19, $C$13, 100%, $E$13)</f>
        <v>2.8170999999999999</v>
      </c>
      <c r="E72" s="61">
        <f>2.8081 * CHOOSE(CONTROL!$C$19, $C$13, 100%, $E$13)</f>
        <v>2.8081</v>
      </c>
      <c r="F72" s="61">
        <f>2.8081 * CHOOSE(CONTROL!$C$19, $C$13, 100%, $E$13)</f>
        <v>2.8081</v>
      </c>
      <c r="G72" s="61">
        <f>2.81 * CHOOSE(CONTROL!$C$19, $C$13, 100%, $E$13)</f>
        <v>2.81</v>
      </c>
      <c r="H72" s="61">
        <f>4.6789* CHOOSE(CONTROL!$C$19, $C$13, 100%, $E$13)</f>
        <v>4.6788999999999996</v>
      </c>
      <c r="I72" s="61">
        <f>4.6808 * CHOOSE(CONTROL!$C$19, $C$13, 100%, $E$13)</f>
        <v>4.6807999999999996</v>
      </c>
      <c r="J72" s="61">
        <f>2.8081 * CHOOSE(CONTROL!$C$19, $C$13, 100%, $E$13)</f>
        <v>2.8081</v>
      </c>
      <c r="K72" s="61">
        <f>2.81 * CHOOSE(CONTROL!$C$19, $C$13, 100%, $E$13)</f>
        <v>2.81</v>
      </c>
      <c r="L72" s="4"/>
      <c r="M72" s="4"/>
      <c r="N72" s="4"/>
    </row>
    <row r="73" spans="1:14" ht="15">
      <c r="A73" s="13">
        <v>44075</v>
      </c>
      <c r="B73" s="60">
        <f>2.7837 * CHOOSE(CONTROL!$C$19, $C$13, 100%, $E$13)</f>
        <v>2.7837000000000001</v>
      </c>
      <c r="C73" s="60">
        <f>2.7837 * CHOOSE(CONTROL!$C$19, $C$13, 100%, $E$13)</f>
        <v>2.7837000000000001</v>
      </c>
      <c r="D73" s="60">
        <f>2.8141 * CHOOSE(CONTROL!$C$19, $C$13, 100%, $E$13)</f>
        <v>2.8140999999999998</v>
      </c>
      <c r="E73" s="61">
        <f>2.8042 * CHOOSE(CONTROL!$C$19, $C$13, 100%, $E$13)</f>
        <v>2.8041999999999998</v>
      </c>
      <c r="F73" s="61">
        <f>2.8042 * CHOOSE(CONTROL!$C$19, $C$13, 100%, $E$13)</f>
        <v>2.8041999999999998</v>
      </c>
      <c r="G73" s="61">
        <f>2.8061 * CHOOSE(CONTROL!$C$19, $C$13, 100%, $E$13)</f>
        <v>2.8060999999999998</v>
      </c>
      <c r="H73" s="61">
        <f>4.6887* CHOOSE(CONTROL!$C$19, $C$13, 100%, $E$13)</f>
        <v>4.6886999999999999</v>
      </c>
      <c r="I73" s="61">
        <f>4.6906 * CHOOSE(CONTROL!$C$19, $C$13, 100%, $E$13)</f>
        <v>4.6905999999999999</v>
      </c>
      <c r="J73" s="61">
        <f>2.8042 * CHOOSE(CONTROL!$C$19, $C$13, 100%, $E$13)</f>
        <v>2.8041999999999998</v>
      </c>
      <c r="K73" s="61">
        <f>2.8061 * CHOOSE(CONTROL!$C$19, $C$13, 100%, $E$13)</f>
        <v>2.8060999999999998</v>
      </c>
      <c r="L73" s="4"/>
      <c r="M73" s="4"/>
      <c r="N73" s="4"/>
    </row>
    <row r="74" spans="1:14" ht="15">
      <c r="A74" s="13">
        <v>44105</v>
      </c>
      <c r="B74" s="60">
        <f>2.7743 * CHOOSE(CONTROL!$C$19, $C$13, 100%, $E$13)</f>
        <v>2.7743000000000002</v>
      </c>
      <c r="C74" s="60">
        <f>2.7743 * CHOOSE(CONTROL!$C$19, $C$13, 100%, $E$13)</f>
        <v>2.7743000000000002</v>
      </c>
      <c r="D74" s="60">
        <f>2.7895 * CHOOSE(CONTROL!$C$19, $C$13, 100%, $E$13)</f>
        <v>2.7894999999999999</v>
      </c>
      <c r="E74" s="61">
        <f>2.7978 * CHOOSE(CONTROL!$C$19, $C$13, 100%, $E$13)</f>
        <v>2.7978000000000001</v>
      </c>
      <c r="F74" s="61">
        <f>2.7978 * CHOOSE(CONTROL!$C$19, $C$13, 100%, $E$13)</f>
        <v>2.7978000000000001</v>
      </c>
      <c r="G74" s="61">
        <f>2.798 * CHOOSE(CONTROL!$C$19, $C$13, 100%, $E$13)</f>
        <v>2.798</v>
      </c>
      <c r="H74" s="61">
        <f>4.6984* CHOOSE(CONTROL!$C$19, $C$13, 100%, $E$13)</f>
        <v>4.6984000000000004</v>
      </c>
      <c r="I74" s="61">
        <f>4.6986 * CHOOSE(CONTROL!$C$19, $C$13, 100%, $E$13)</f>
        <v>4.6985999999999999</v>
      </c>
      <c r="J74" s="61">
        <f>2.7978 * CHOOSE(CONTROL!$C$19, $C$13, 100%, $E$13)</f>
        <v>2.7978000000000001</v>
      </c>
      <c r="K74" s="61">
        <f>2.798 * CHOOSE(CONTROL!$C$19, $C$13, 100%, $E$13)</f>
        <v>2.798</v>
      </c>
      <c r="L74" s="4"/>
      <c r="M74" s="4"/>
      <c r="N74" s="4"/>
    </row>
    <row r="75" spans="1:14" ht="15">
      <c r="A75" s="13">
        <v>44136</v>
      </c>
      <c r="B75" s="60">
        <f>2.7773 * CHOOSE(CONTROL!$C$19, $C$13, 100%, $E$13)</f>
        <v>2.7772999999999999</v>
      </c>
      <c r="C75" s="60">
        <f>2.7773 * CHOOSE(CONTROL!$C$19, $C$13, 100%, $E$13)</f>
        <v>2.7772999999999999</v>
      </c>
      <c r="D75" s="60">
        <f>2.7925 * CHOOSE(CONTROL!$C$19, $C$13, 100%, $E$13)</f>
        <v>2.7925</v>
      </c>
      <c r="E75" s="61">
        <f>2.8035 * CHOOSE(CONTROL!$C$19, $C$13, 100%, $E$13)</f>
        <v>2.8035000000000001</v>
      </c>
      <c r="F75" s="61">
        <f>2.8035 * CHOOSE(CONTROL!$C$19, $C$13, 100%, $E$13)</f>
        <v>2.8035000000000001</v>
      </c>
      <c r="G75" s="61">
        <f>2.8036 * CHOOSE(CONTROL!$C$19, $C$13, 100%, $E$13)</f>
        <v>2.8035999999999999</v>
      </c>
      <c r="H75" s="61">
        <f>4.7082* CHOOSE(CONTROL!$C$19, $C$13, 100%, $E$13)</f>
        <v>4.7081999999999997</v>
      </c>
      <c r="I75" s="61">
        <f>4.7084 * CHOOSE(CONTROL!$C$19, $C$13, 100%, $E$13)</f>
        <v>4.7084000000000001</v>
      </c>
      <c r="J75" s="61">
        <f>2.8035 * CHOOSE(CONTROL!$C$19, $C$13, 100%, $E$13)</f>
        <v>2.8035000000000001</v>
      </c>
      <c r="K75" s="61">
        <f>2.8036 * CHOOSE(CONTROL!$C$19, $C$13, 100%, $E$13)</f>
        <v>2.8035999999999999</v>
      </c>
      <c r="L75" s="4"/>
      <c r="M75" s="4"/>
      <c r="N75" s="4"/>
    </row>
    <row r="76" spans="1:14" ht="15">
      <c r="A76" s="13">
        <v>44166</v>
      </c>
      <c r="B76" s="60">
        <f>2.7773 * CHOOSE(CONTROL!$C$19, $C$13, 100%, $E$13)</f>
        <v>2.7772999999999999</v>
      </c>
      <c r="C76" s="60">
        <f>2.7773 * CHOOSE(CONTROL!$C$19, $C$13, 100%, $E$13)</f>
        <v>2.7772999999999999</v>
      </c>
      <c r="D76" s="60">
        <f>2.7925 * CHOOSE(CONTROL!$C$19, $C$13, 100%, $E$13)</f>
        <v>2.7925</v>
      </c>
      <c r="E76" s="61">
        <f>2.7946 * CHOOSE(CONTROL!$C$19, $C$13, 100%, $E$13)</f>
        <v>2.7946</v>
      </c>
      <c r="F76" s="61">
        <f>2.7946 * CHOOSE(CONTROL!$C$19, $C$13, 100%, $E$13)</f>
        <v>2.7946</v>
      </c>
      <c r="G76" s="61">
        <f>2.7948 * CHOOSE(CONTROL!$C$19, $C$13, 100%, $E$13)</f>
        <v>2.7948</v>
      </c>
      <c r="H76" s="61">
        <f>4.718* CHOOSE(CONTROL!$C$19, $C$13, 100%, $E$13)</f>
        <v>4.718</v>
      </c>
      <c r="I76" s="61">
        <f>4.7182 * CHOOSE(CONTROL!$C$19, $C$13, 100%, $E$13)</f>
        <v>4.7182000000000004</v>
      </c>
      <c r="J76" s="61">
        <f>2.7946 * CHOOSE(CONTROL!$C$19, $C$13, 100%, $E$13)</f>
        <v>2.7946</v>
      </c>
      <c r="K76" s="61">
        <f>2.7948 * CHOOSE(CONTROL!$C$19, $C$13, 100%, $E$13)</f>
        <v>2.7948</v>
      </c>
      <c r="L76" s="4"/>
      <c r="M76" s="4"/>
      <c r="N76" s="4"/>
    </row>
    <row r="77" spans="1:14" ht="15">
      <c r="A77" s="13">
        <v>44197</v>
      </c>
      <c r="B77" s="60">
        <f>2.8122 * CHOOSE(CONTROL!$C$19, $C$13, 100%, $E$13)</f>
        <v>2.8121999999999998</v>
      </c>
      <c r="C77" s="60">
        <f>2.8122 * CHOOSE(CONTROL!$C$19, $C$13, 100%, $E$13)</f>
        <v>2.8121999999999998</v>
      </c>
      <c r="D77" s="60">
        <f>2.8273 * CHOOSE(CONTROL!$C$19, $C$13, 100%, $E$13)</f>
        <v>2.8273000000000001</v>
      </c>
      <c r="E77" s="61">
        <f>2.8576 * CHOOSE(CONTROL!$C$19, $C$13, 100%, $E$13)</f>
        <v>2.8576000000000001</v>
      </c>
      <c r="F77" s="61">
        <f>2.8576 * CHOOSE(CONTROL!$C$19, $C$13, 100%, $E$13)</f>
        <v>2.8576000000000001</v>
      </c>
      <c r="G77" s="61">
        <f>2.8578 * CHOOSE(CONTROL!$C$19, $C$13, 100%, $E$13)</f>
        <v>2.8578000000000001</v>
      </c>
      <c r="H77" s="61">
        <f>4.7279* CHOOSE(CONTROL!$C$19, $C$13, 100%, $E$13)</f>
        <v>4.7279</v>
      </c>
      <c r="I77" s="61">
        <f>4.728 * CHOOSE(CONTROL!$C$19, $C$13, 100%, $E$13)</f>
        <v>4.7279999999999998</v>
      </c>
      <c r="J77" s="61">
        <f>2.8576 * CHOOSE(CONTROL!$C$19, $C$13, 100%, $E$13)</f>
        <v>2.8576000000000001</v>
      </c>
      <c r="K77" s="61">
        <f>2.8578 * CHOOSE(CONTROL!$C$19, $C$13, 100%, $E$13)</f>
        <v>2.8578000000000001</v>
      </c>
      <c r="L77" s="4"/>
      <c r="M77" s="4"/>
      <c r="N77" s="4"/>
    </row>
    <row r="78" spans="1:14" ht="15">
      <c r="A78" s="13">
        <v>44228</v>
      </c>
      <c r="B78" s="60">
        <f>2.8091 * CHOOSE(CONTROL!$C$19, $C$13, 100%, $E$13)</f>
        <v>2.8090999999999999</v>
      </c>
      <c r="C78" s="60">
        <f>2.8091 * CHOOSE(CONTROL!$C$19, $C$13, 100%, $E$13)</f>
        <v>2.8090999999999999</v>
      </c>
      <c r="D78" s="60">
        <f>2.8243 * CHOOSE(CONTROL!$C$19, $C$13, 100%, $E$13)</f>
        <v>2.8243</v>
      </c>
      <c r="E78" s="61">
        <f>2.8354 * CHOOSE(CONTROL!$C$19, $C$13, 100%, $E$13)</f>
        <v>2.8353999999999999</v>
      </c>
      <c r="F78" s="61">
        <f>2.8354 * CHOOSE(CONTROL!$C$19, $C$13, 100%, $E$13)</f>
        <v>2.8353999999999999</v>
      </c>
      <c r="G78" s="61">
        <f>2.8356 * CHOOSE(CONTROL!$C$19, $C$13, 100%, $E$13)</f>
        <v>2.8355999999999999</v>
      </c>
      <c r="H78" s="61">
        <f>4.7377* CHOOSE(CONTROL!$C$19, $C$13, 100%, $E$13)</f>
        <v>4.7377000000000002</v>
      </c>
      <c r="I78" s="61">
        <f>4.7379 * CHOOSE(CONTROL!$C$19, $C$13, 100%, $E$13)</f>
        <v>4.7378999999999998</v>
      </c>
      <c r="J78" s="61">
        <f>2.8354 * CHOOSE(CONTROL!$C$19, $C$13, 100%, $E$13)</f>
        <v>2.8353999999999999</v>
      </c>
      <c r="K78" s="61">
        <f>2.8356 * CHOOSE(CONTROL!$C$19, $C$13, 100%, $E$13)</f>
        <v>2.8355999999999999</v>
      </c>
      <c r="L78" s="4"/>
      <c r="M78" s="4"/>
      <c r="N78" s="4"/>
    </row>
    <row r="79" spans="1:14" ht="15">
      <c r="A79" s="13">
        <v>44256</v>
      </c>
      <c r="B79" s="60">
        <f>2.8061 * CHOOSE(CONTROL!$C$19, $C$13, 100%, $E$13)</f>
        <v>2.8060999999999998</v>
      </c>
      <c r="C79" s="60">
        <f>2.8061 * CHOOSE(CONTROL!$C$19, $C$13, 100%, $E$13)</f>
        <v>2.8060999999999998</v>
      </c>
      <c r="D79" s="60">
        <f>2.8213 * CHOOSE(CONTROL!$C$19, $C$13, 100%, $E$13)</f>
        <v>2.8212999999999999</v>
      </c>
      <c r="E79" s="61">
        <f>2.8491 * CHOOSE(CONTROL!$C$19, $C$13, 100%, $E$13)</f>
        <v>2.8491</v>
      </c>
      <c r="F79" s="61">
        <f>2.8491 * CHOOSE(CONTROL!$C$19, $C$13, 100%, $E$13)</f>
        <v>2.8491</v>
      </c>
      <c r="G79" s="61">
        <f>2.8493 * CHOOSE(CONTROL!$C$19, $C$13, 100%, $E$13)</f>
        <v>2.8492999999999999</v>
      </c>
      <c r="H79" s="61">
        <f>4.7476* CHOOSE(CONTROL!$C$19, $C$13, 100%, $E$13)</f>
        <v>4.7476000000000003</v>
      </c>
      <c r="I79" s="61">
        <f>4.7478 * CHOOSE(CONTROL!$C$19, $C$13, 100%, $E$13)</f>
        <v>4.7477999999999998</v>
      </c>
      <c r="J79" s="61">
        <f>2.8491 * CHOOSE(CONTROL!$C$19, $C$13, 100%, $E$13)</f>
        <v>2.8491</v>
      </c>
      <c r="K79" s="61">
        <f>2.8493 * CHOOSE(CONTROL!$C$19, $C$13, 100%, $E$13)</f>
        <v>2.8492999999999999</v>
      </c>
      <c r="L79" s="4"/>
      <c r="M79" s="4"/>
      <c r="N79" s="4"/>
    </row>
    <row r="80" spans="1:14" ht="15">
      <c r="A80" s="13">
        <v>44287</v>
      </c>
      <c r="B80" s="60">
        <f>2.8026 * CHOOSE(CONTROL!$C$19, $C$13, 100%, $E$13)</f>
        <v>2.8026</v>
      </c>
      <c r="C80" s="60">
        <f>2.8026 * CHOOSE(CONTROL!$C$19, $C$13, 100%, $E$13)</f>
        <v>2.8026</v>
      </c>
      <c r="D80" s="60">
        <f>2.8178 * CHOOSE(CONTROL!$C$19, $C$13, 100%, $E$13)</f>
        <v>2.8178000000000001</v>
      </c>
      <c r="E80" s="61">
        <f>2.8619 * CHOOSE(CONTROL!$C$19, $C$13, 100%, $E$13)</f>
        <v>2.8618999999999999</v>
      </c>
      <c r="F80" s="61">
        <f>2.8619 * CHOOSE(CONTROL!$C$19, $C$13, 100%, $E$13)</f>
        <v>2.8618999999999999</v>
      </c>
      <c r="G80" s="61">
        <f>2.8621 * CHOOSE(CONTROL!$C$19, $C$13, 100%, $E$13)</f>
        <v>2.8620999999999999</v>
      </c>
      <c r="H80" s="61">
        <f>4.7575* CHOOSE(CONTROL!$C$19, $C$13, 100%, $E$13)</f>
        <v>4.7575000000000003</v>
      </c>
      <c r="I80" s="61">
        <f>4.7576 * CHOOSE(CONTROL!$C$19, $C$13, 100%, $E$13)</f>
        <v>4.7576000000000001</v>
      </c>
      <c r="J80" s="61">
        <f>2.8619 * CHOOSE(CONTROL!$C$19, $C$13, 100%, $E$13)</f>
        <v>2.8618999999999999</v>
      </c>
      <c r="K80" s="61">
        <f>2.8621 * CHOOSE(CONTROL!$C$19, $C$13, 100%, $E$13)</f>
        <v>2.8620999999999999</v>
      </c>
      <c r="L80" s="4"/>
      <c r="M80" s="4"/>
      <c r="N80" s="4"/>
    </row>
    <row r="81" spans="1:14" ht="15">
      <c r="A81" s="13">
        <v>44317</v>
      </c>
      <c r="B81" s="60">
        <f>2.8026 * CHOOSE(CONTROL!$C$19, $C$13, 100%, $E$13)</f>
        <v>2.8026</v>
      </c>
      <c r="C81" s="60">
        <f>2.8026 * CHOOSE(CONTROL!$C$19, $C$13, 100%, $E$13)</f>
        <v>2.8026</v>
      </c>
      <c r="D81" s="60">
        <f>2.833 * CHOOSE(CONTROL!$C$19, $C$13, 100%, $E$13)</f>
        <v>2.8330000000000002</v>
      </c>
      <c r="E81" s="61">
        <f>2.8683 * CHOOSE(CONTROL!$C$19, $C$13, 100%, $E$13)</f>
        <v>2.8683000000000001</v>
      </c>
      <c r="F81" s="61">
        <f>2.8683 * CHOOSE(CONTROL!$C$19, $C$13, 100%, $E$13)</f>
        <v>2.8683000000000001</v>
      </c>
      <c r="G81" s="61">
        <f>2.8702 * CHOOSE(CONTROL!$C$19, $C$13, 100%, $E$13)</f>
        <v>2.8702000000000001</v>
      </c>
      <c r="H81" s="61">
        <f>4.7674* CHOOSE(CONTROL!$C$19, $C$13, 100%, $E$13)</f>
        <v>4.7674000000000003</v>
      </c>
      <c r="I81" s="61">
        <f>4.7693 * CHOOSE(CONTROL!$C$19, $C$13, 100%, $E$13)</f>
        <v>4.7693000000000003</v>
      </c>
      <c r="J81" s="61">
        <f>2.8683 * CHOOSE(CONTROL!$C$19, $C$13, 100%, $E$13)</f>
        <v>2.8683000000000001</v>
      </c>
      <c r="K81" s="61">
        <f>2.8702 * CHOOSE(CONTROL!$C$19, $C$13, 100%, $E$13)</f>
        <v>2.8702000000000001</v>
      </c>
      <c r="L81" s="4"/>
      <c r="M81" s="4"/>
      <c r="N81" s="4"/>
    </row>
    <row r="82" spans="1:14" ht="15">
      <c r="A82" s="13">
        <v>44348</v>
      </c>
      <c r="B82" s="60">
        <f>2.8087 * CHOOSE(CONTROL!$C$19, $C$13, 100%, $E$13)</f>
        <v>2.8087</v>
      </c>
      <c r="C82" s="60">
        <f>2.8087 * CHOOSE(CONTROL!$C$19, $C$13, 100%, $E$13)</f>
        <v>2.8087</v>
      </c>
      <c r="D82" s="60">
        <f>2.839 * CHOOSE(CONTROL!$C$19, $C$13, 100%, $E$13)</f>
        <v>2.839</v>
      </c>
      <c r="E82" s="61">
        <f>2.8661 * CHOOSE(CONTROL!$C$19, $C$13, 100%, $E$13)</f>
        <v>2.8660999999999999</v>
      </c>
      <c r="F82" s="61">
        <f>2.8661 * CHOOSE(CONTROL!$C$19, $C$13, 100%, $E$13)</f>
        <v>2.8660999999999999</v>
      </c>
      <c r="G82" s="61">
        <f>2.868 * CHOOSE(CONTROL!$C$19, $C$13, 100%, $E$13)</f>
        <v>2.8679999999999999</v>
      </c>
      <c r="H82" s="61">
        <f>4.7773* CHOOSE(CONTROL!$C$19, $C$13, 100%, $E$13)</f>
        <v>4.7773000000000003</v>
      </c>
      <c r="I82" s="61">
        <f>4.7792 * CHOOSE(CONTROL!$C$19, $C$13, 100%, $E$13)</f>
        <v>4.7792000000000003</v>
      </c>
      <c r="J82" s="61">
        <f>2.8661 * CHOOSE(CONTROL!$C$19, $C$13, 100%, $E$13)</f>
        <v>2.8660999999999999</v>
      </c>
      <c r="K82" s="61">
        <f>2.868 * CHOOSE(CONTROL!$C$19, $C$13, 100%, $E$13)</f>
        <v>2.8679999999999999</v>
      </c>
      <c r="L82" s="4"/>
      <c r="M82" s="4"/>
      <c r="N82" s="4"/>
    </row>
    <row r="83" spans="1:14" ht="15">
      <c r="A83" s="13">
        <v>44378</v>
      </c>
      <c r="B83" s="60">
        <f>2.8711 * CHOOSE(CONTROL!$C$19, $C$13, 100%, $E$13)</f>
        <v>2.8711000000000002</v>
      </c>
      <c r="C83" s="60">
        <f>2.8711 * CHOOSE(CONTROL!$C$19, $C$13, 100%, $E$13)</f>
        <v>2.8711000000000002</v>
      </c>
      <c r="D83" s="60">
        <f>2.9015 * CHOOSE(CONTROL!$C$19, $C$13, 100%, $E$13)</f>
        <v>2.9015</v>
      </c>
      <c r="E83" s="61">
        <f>2.9281 * CHOOSE(CONTROL!$C$19, $C$13, 100%, $E$13)</f>
        <v>2.9281000000000001</v>
      </c>
      <c r="F83" s="61">
        <f>2.9281 * CHOOSE(CONTROL!$C$19, $C$13, 100%, $E$13)</f>
        <v>2.9281000000000001</v>
      </c>
      <c r="G83" s="61">
        <f>2.93 * CHOOSE(CONTROL!$C$19, $C$13, 100%, $E$13)</f>
        <v>2.93</v>
      </c>
      <c r="H83" s="61">
        <f>4.7873* CHOOSE(CONTROL!$C$19, $C$13, 100%, $E$13)</f>
        <v>4.7873000000000001</v>
      </c>
      <c r="I83" s="61">
        <f>4.7892 * CHOOSE(CONTROL!$C$19, $C$13, 100%, $E$13)</f>
        <v>4.7892000000000001</v>
      </c>
      <c r="J83" s="61">
        <f>2.9281 * CHOOSE(CONTROL!$C$19, $C$13, 100%, $E$13)</f>
        <v>2.9281000000000001</v>
      </c>
      <c r="K83" s="61">
        <f>2.93 * CHOOSE(CONTROL!$C$19, $C$13, 100%, $E$13)</f>
        <v>2.93</v>
      </c>
      <c r="L83" s="4"/>
      <c r="M83" s="4"/>
      <c r="N83" s="4"/>
    </row>
    <row r="84" spans="1:14" ht="15">
      <c r="A84" s="13">
        <v>44409</v>
      </c>
      <c r="B84" s="60">
        <f>2.8778 * CHOOSE(CONTROL!$C$19, $C$13, 100%, $E$13)</f>
        <v>2.8778000000000001</v>
      </c>
      <c r="C84" s="60">
        <f>2.8778 * CHOOSE(CONTROL!$C$19, $C$13, 100%, $E$13)</f>
        <v>2.8778000000000001</v>
      </c>
      <c r="D84" s="60">
        <f>2.9082 * CHOOSE(CONTROL!$C$19, $C$13, 100%, $E$13)</f>
        <v>2.9081999999999999</v>
      </c>
      <c r="E84" s="61">
        <f>2.9136 * CHOOSE(CONTROL!$C$19, $C$13, 100%, $E$13)</f>
        <v>2.9136000000000002</v>
      </c>
      <c r="F84" s="61">
        <f>2.9136 * CHOOSE(CONTROL!$C$19, $C$13, 100%, $E$13)</f>
        <v>2.9136000000000002</v>
      </c>
      <c r="G84" s="61">
        <f>2.9155 * CHOOSE(CONTROL!$C$19, $C$13, 100%, $E$13)</f>
        <v>2.9155000000000002</v>
      </c>
      <c r="H84" s="61">
        <f>4.7972* CHOOSE(CONTROL!$C$19, $C$13, 100%, $E$13)</f>
        <v>4.7972000000000001</v>
      </c>
      <c r="I84" s="61">
        <f>4.7991 * CHOOSE(CONTROL!$C$19, $C$13, 100%, $E$13)</f>
        <v>4.7991000000000001</v>
      </c>
      <c r="J84" s="61">
        <f>2.9136 * CHOOSE(CONTROL!$C$19, $C$13, 100%, $E$13)</f>
        <v>2.9136000000000002</v>
      </c>
      <c r="K84" s="61">
        <f>2.9155 * CHOOSE(CONTROL!$C$19, $C$13, 100%, $E$13)</f>
        <v>2.9155000000000002</v>
      </c>
      <c r="L84" s="4"/>
      <c r="M84" s="4"/>
      <c r="N84" s="4"/>
    </row>
    <row r="85" spans="1:14" ht="15">
      <c r="A85" s="13">
        <v>44440</v>
      </c>
      <c r="B85" s="60">
        <f>2.8748 * CHOOSE(CONTROL!$C$19, $C$13, 100%, $E$13)</f>
        <v>2.8748</v>
      </c>
      <c r="C85" s="60">
        <f>2.8748 * CHOOSE(CONTROL!$C$19, $C$13, 100%, $E$13)</f>
        <v>2.8748</v>
      </c>
      <c r="D85" s="60">
        <f>2.9051 * CHOOSE(CONTROL!$C$19, $C$13, 100%, $E$13)</f>
        <v>2.9051</v>
      </c>
      <c r="E85" s="61">
        <f>2.9094 * CHOOSE(CONTROL!$C$19, $C$13, 100%, $E$13)</f>
        <v>2.9094000000000002</v>
      </c>
      <c r="F85" s="61">
        <f>2.9094 * CHOOSE(CONTROL!$C$19, $C$13, 100%, $E$13)</f>
        <v>2.9094000000000002</v>
      </c>
      <c r="G85" s="61">
        <f>2.9113 * CHOOSE(CONTROL!$C$19, $C$13, 100%, $E$13)</f>
        <v>2.9113000000000002</v>
      </c>
      <c r="H85" s="61">
        <f>4.8072* CHOOSE(CONTROL!$C$19, $C$13, 100%, $E$13)</f>
        <v>4.8071999999999999</v>
      </c>
      <c r="I85" s="61">
        <f>4.8091 * CHOOSE(CONTROL!$C$19, $C$13, 100%, $E$13)</f>
        <v>4.8090999999999999</v>
      </c>
      <c r="J85" s="61">
        <f>2.9094 * CHOOSE(CONTROL!$C$19, $C$13, 100%, $E$13)</f>
        <v>2.9094000000000002</v>
      </c>
      <c r="K85" s="61">
        <f>2.9113 * CHOOSE(CONTROL!$C$19, $C$13, 100%, $E$13)</f>
        <v>2.9113000000000002</v>
      </c>
      <c r="L85" s="4"/>
      <c r="M85" s="4"/>
      <c r="N85" s="4"/>
    </row>
    <row r="86" spans="1:14" ht="15">
      <c r="A86" s="13">
        <v>44470</v>
      </c>
      <c r="B86" s="60">
        <f>2.8659 * CHOOSE(CONTROL!$C$19, $C$13, 100%, $E$13)</f>
        <v>2.8658999999999999</v>
      </c>
      <c r="C86" s="60">
        <f>2.8659 * CHOOSE(CONTROL!$C$19, $C$13, 100%, $E$13)</f>
        <v>2.8658999999999999</v>
      </c>
      <c r="D86" s="60">
        <f>2.8811 * CHOOSE(CONTROL!$C$19, $C$13, 100%, $E$13)</f>
        <v>2.8811</v>
      </c>
      <c r="E86" s="61">
        <f>2.9045 * CHOOSE(CONTROL!$C$19, $C$13, 100%, $E$13)</f>
        <v>2.9045000000000001</v>
      </c>
      <c r="F86" s="61">
        <f>2.9045 * CHOOSE(CONTROL!$C$19, $C$13, 100%, $E$13)</f>
        <v>2.9045000000000001</v>
      </c>
      <c r="G86" s="61">
        <f>2.9046 * CHOOSE(CONTROL!$C$19, $C$13, 100%, $E$13)</f>
        <v>2.9045999999999998</v>
      </c>
      <c r="H86" s="61">
        <f>4.8173* CHOOSE(CONTROL!$C$19, $C$13, 100%, $E$13)</f>
        <v>4.8173000000000004</v>
      </c>
      <c r="I86" s="61">
        <f>4.8174 * CHOOSE(CONTROL!$C$19, $C$13, 100%, $E$13)</f>
        <v>4.8174000000000001</v>
      </c>
      <c r="J86" s="61">
        <f>2.9045 * CHOOSE(CONTROL!$C$19, $C$13, 100%, $E$13)</f>
        <v>2.9045000000000001</v>
      </c>
      <c r="K86" s="61">
        <f>2.9046 * CHOOSE(CONTROL!$C$19, $C$13, 100%, $E$13)</f>
        <v>2.9045999999999998</v>
      </c>
      <c r="L86" s="4"/>
      <c r="M86" s="4"/>
      <c r="N86" s="4"/>
    </row>
    <row r="87" spans="1:14" ht="15">
      <c r="A87" s="13">
        <v>44501</v>
      </c>
      <c r="B87" s="60">
        <f>2.869 * CHOOSE(CONTROL!$C$19, $C$13, 100%, $E$13)</f>
        <v>2.8690000000000002</v>
      </c>
      <c r="C87" s="60">
        <f>2.869 * CHOOSE(CONTROL!$C$19, $C$13, 100%, $E$13)</f>
        <v>2.8690000000000002</v>
      </c>
      <c r="D87" s="60">
        <f>2.8841 * CHOOSE(CONTROL!$C$19, $C$13, 100%, $E$13)</f>
        <v>2.8841000000000001</v>
      </c>
      <c r="E87" s="61">
        <f>2.9108 * CHOOSE(CONTROL!$C$19, $C$13, 100%, $E$13)</f>
        <v>2.9108000000000001</v>
      </c>
      <c r="F87" s="61">
        <f>2.9108 * CHOOSE(CONTROL!$C$19, $C$13, 100%, $E$13)</f>
        <v>2.9108000000000001</v>
      </c>
      <c r="G87" s="61">
        <f>2.911 * CHOOSE(CONTROL!$C$19, $C$13, 100%, $E$13)</f>
        <v>2.911</v>
      </c>
      <c r="H87" s="61">
        <f>4.8273* CHOOSE(CONTROL!$C$19, $C$13, 100%, $E$13)</f>
        <v>4.8273000000000001</v>
      </c>
      <c r="I87" s="61">
        <f>4.8275 * CHOOSE(CONTROL!$C$19, $C$13, 100%, $E$13)</f>
        <v>4.8274999999999997</v>
      </c>
      <c r="J87" s="61">
        <f>2.9108 * CHOOSE(CONTROL!$C$19, $C$13, 100%, $E$13)</f>
        <v>2.9108000000000001</v>
      </c>
      <c r="K87" s="61">
        <f>2.911 * CHOOSE(CONTROL!$C$19, $C$13, 100%, $E$13)</f>
        <v>2.911</v>
      </c>
      <c r="L87" s="4"/>
      <c r="M87" s="4"/>
      <c r="N87" s="4"/>
    </row>
    <row r="88" spans="1:14" ht="15">
      <c r="A88" s="13">
        <v>44531</v>
      </c>
      <c r="B88" s="60">
        <f>2.869 * CHOOSE(CONTROL!$C$19, $C$13, 100%, $E$13)</f>
        <v>2.8690000000000002</v>
      </c>
      <c r="C88" s="60">
        <f>2.869 * CHOOSE(CONTROL!$C$19, $C$13, 100%, $E$13)</f>
        <v>2.8690000000000002</v>
      </c>
      <c r="D88" s="60">
        <f>2.8841 * CHOOSE(CONTROL!$C$19, $C$13, 100%, $E$13)</f>
        <v>2.8841000000000001</v>
      </c>
      <c r="E88" s="61">
        <f>2.9002 * CHOOSE(CONTROL!$C$19, $C$13, 100%, $E$13)</f>
        <v>2.9001999999999999</v>
      </c>
      <c r="F88" s="61">
        <f>2.9002 * CHOOSE(CONTROL!$C$19, $C$13, 100%, $E$13)</f>
        <v>2.9001999999999999</v>
      </c>
      <c r="G88" s="61">
        <f>2.9004 * CHOOSE(CONTROL!$C$19, $C$13, 100%, $E$13)</f>
        <v>2.9003999999999999</v>
      </c>
      <c r="H88" s="61">
        <f>4.8373* CHOOSE(CONTROL!$C$19, $C$13, 100%, $E$13)</f>
        <v>4.8372999999999999</v>
      </c>
      <c r="I88" s="61">
        <f>4.8375 * CHOOSE(CONTROL!$C$19, $C$13, 100%, $E$13)</f>
        <v>4.8375000000000004</v>
      </c>
      <c r="J88" s="61">
        <f>2.9002 * CHOOSE(CONTROL!$C$19, $C$13, 100%, $E$13)</f>
        <v>2.9001999999999999</v>
      </c>
      <c r="K88" s="61">
        <f>2.9004 * CHOOSE(CONTROL!$C$19, $C$13, 100%, $E$13)</f>
        <v>2.9003999999999999</v>
      </c>
      <c r="L88" s="4"/>
      <c r="M88" s="4"/>
      <c r="N88" s="4"/>
    </row>
    <row r="89" spans="1:14" ht="15">
      <c r="A89" s="13">
        <v>44562</v>
      </c>
      <c r="B89" s="60">
        <f>2.925 * CHOOSE(CONTROL!$C$19, $C$13, 100%, $E$13)</f>
        <v>2.9249999999999998</v>
      </c>
      <c r="C89" s="60">
        <f>2.925 * CHOOSE(CONTROL!$C$19, $C$13, 100%, $E$13)</f>
        <v>2.9249999999999998</v>
      </c>
      <c r="D89" s="60">
        <f>2.9402 * CHOOSE(CONTROL!$C$19, $C$13, 100%, $E$13)</f>
        <v>2.9401999999999999</v>
      </c>
      <c r="E89" s="61">
        <f>2.9769 * CHOOSE(CONTROL!$C$19, $C$13, 100%, $E$13)</f>
        <v>2.9769000000000001</v>
      </c>
      <c r="F89" s="61">
        <f>2.9769 * CHOOSE(CONTROL!$C$19, $C$13, 100%, $E$13)</f>
        <v>2.9769000000000001</v>
      </c>
      <c r="G89" s="61">
        <f>2.9771 * CHOOSE(CONTROL!$C$19, $C$13, 100%, $E$13)</f>
        <v>2.9771000000000001</v>
      </c>
      <c r="H89" s="61">
        <f>4.8474* CHOOSE(CONTROL!$C$19, $C$13, 100%, $E$13)</f>
        <v>4.8474000000000004</v>
      </c>
      <c r="I89" s="61">
        <f>4.8476 * CHOOSE(CONTROL!$C$19, $C$13, 100%, $E$13)</f>
        <v>4.8475999999999999</v>
      </c>
      <c r="J89" s="61">
        <f>2.9769 * CHOOSE(CONTROL!$C$19, $C$13, 100%, $E$13)</f>
        <v>2.9769000000000001</v>
      </c>
      <c r="K89" s="61">
        <f>2.9771 * CHOOSE(CONTROL!$C$19, $C$13, 100%, $E$13)</f>
        <v>2.9771000000000001</v>
      </c>
      <c r="L89" s="4"/>
      <c r="M89" s="4"/>
      <c r="N89" s="4"/>
    </row>
    <row r="90" spans="1:14" ht="15">
      <c r="A90" s="13">
        <v>44593</v>
      </c>
      <c r="B90" s="60">
        <f>2.9219 * CHOOSE(CONTROL!$C$19, $C$13, 100%, $E$13)</f>
        <v>2.9218999999999999</v>
      </c>
      <c r="C90" s="60">
        <f>2.9219 * CHOOSE(CONTROL!$C$19, $C$13, 100%, $E$13)</f>
        <v>2.9218999999999999</v>
      </c>
      <c r="D90" s="60">
        <f>2.9371 * CHOOSE(CONTROL!$C$19, $C$13, 100%, $E$13)</f>
        <v>2.9371</v>
      </c>
      <c r="E90" s="61">
        <f>2.9507 * CHOOSE(CONTROL!$C$19, $C$13, 100%, $E$13)</f>
        <v>2.9506999999999999</v>
      </c>
      <c r="F90" s="61">
        <f>2.9507 * CHOOSE(CONTROL!$C$19, $C$13, 100%, $E$13)</f>
        <v>2.9506999999999999</v>
      </c>
      <c r="G90" s="61">
        <f>2.9509 * CHOOSE(CONTROL!$C$19, $C$13, 100%, $E$13)</f>
        <v>2.9508999999999999</v>
      </c>
      <c r="H90" s="61">
        <f>4.8575* CHOOSE(CONTROL!$C$19, $C$13, 100%, $E$13)</f>
        <v>4.8574999999999999</v>
      </c>
      <c r="I90" s="61">
        <f>4.8577 * CHOOSE(CONTROL!$C$19, $C$13, 100%, $E$13)</f>
        <v>4.8577000000000004</v>
      </c>
      <c r="J90" s="61">
        <f>2.9507 * CHOOSE(CONTROL!$C$19, $C$13, 100%, $E$13)</f>
        <v>2.9506999999999999</v>
      </c>
      <c r="K90" s="61">
        <f>2.9509 * CHOOSE(CONTROL!$C$19, $C$13, 100%, $E$13)</f>
        <v>2.9508999999999999</v>
      </c>
      <c r="L90" s="4"/>
      <c r="M90" s="4"/>
      <c r="N90" s="4"/>
    </row>
    <row r="91" spans="1:14" ht="15">
      <c r="A91" s="13">
        <v>44621</v>
      </c>
      <c r="B91" s="60">
        <f>2.9189 * CHOOSE(CONTROL!$C$19, $C$13, 100%, $E$13)</f>
        <v>2.9188999999999998</v>
      </c>
      <c r="C91" s="60">
        <f>2.9189 * CHOOSE(CONTROL!$C$19, $C$13, 100%, $E$13)</f>
        <v>2.9188999999999998</v>
      </c>
      <c r="D91" s="60">
        <f>2.9341 * CHOOSE(CONTROL!$C$19, $C$13, 100%, $E$13)</f>
        <v>2.9340999999999999</v>
      </c>
      <c r="E91" s="61">
        <f>2.9676 * CHOOSE(CONTROL!$C$19, $C$13, 100%, $E$13)</f>
        <v>2.9676</v>
      </c>
      <c r="F91" s="61">
        <f>2.9676 * CHOOSE(CONTROL!$C$19, $C$13, 100%, $E$13)</f>
        <v>2.9676</v>
      </c>
      <c r="G91" s="61">
        <f>2.9677 * CHOOSE(CONTROL!$C$19, $C$13, 100%, $E$13)</f>
        <v>2.9676999999999998</v>
      </c>
      <c r="H91" s="61">
        <f>4.8676* CHOOSE(CONTROL!$C$19, $C$13, 100%, $E$13)</f>
        <v>4.8676000000000004</v>
      </c>
      <c r="I91" s="61">
        <f>4.8678 * CHOOSE(CONTROL!$C$19, $C$13, 100%, $E$13)</f>
        <v>4.8677999999999999</v>
      </c>
      <c r="J91" s="61">
        <f>2.9676 * CHOOSE(CONTROL!$C$19, $C$13, 100%, $E$13)</f>
        <v>2.9676</v>
      </c>
      <c r="K91" s="61">
        <f>2.9677 * CHOOSE(CONTROL!$C$19, $C$13, 100%, $E$13)</f>
        <v>2.9676999999999998</v>
      </c>
      <c r="L91" s="4"/>
      <c r="M91" s="4"/>
      <c r="N91" s="4"/>
    </row>
    <row r="92" spans="1:14" ht="15">
      <c r="A92" s="13">
        <v>44652</v>
      </c>
      <c r="B92" s="60">
        <f>2.9156 * CHOOSE(CONTROL!$C$19, $C$13, 100%, $E$13)</f>
        <v>2.9156</v>
      </c>
      <c r="C92" s="60">
        <f>2.9156 * CHOOSE(CONTROL!$C$19, $C$13, 100%, $E$13)</f>
        <v>2.9156</v>
      </c>
      <c r="D92" s="60">
        <f>2.9307 * CHOOSE(CONTROL!$C$19, $C$13, 100%, $E$13)</f>
        <v>2.9306999999999999</v>
      </c>
      <c r="E92" s="61">
        <f>2.9837 * CHOOSE(CONTROL!$C$19, $C$13, 100%, $E$13)</f>
        <v>2.9836999999999998</v>
      </c>
      <c r="F92" s="61">
        <f>2.9837 * CHOOSE(CONTROL!$C$19, $C$13, 100%, $E$13)</f>
        <v>2.9836999999999998</v>
      </c>
      <c r="G92" s="61">
        <f>2.9839 * CHOOSE(CONTROL!$C$19, $C$13, 100%, $E$13)</f>
        <v>2.9839000000000002</v>
      </c>
      <c r="H92" s="61">
        <f>4.8778* CHOOSE(CONTROL!$C$19, $C$13, 100%, $E$13)</f>
        <v>4.8777999999999997</v>
      </c>
      <c r="I92" s="61">
        <f>4.878 * CHOOSE(CONTROL!$C$19, $C$13, 100%, $E$13)</f>
        <v>4.8780000000000001</v>
      </c>
      <c r="J92" s="61">
        <f>2.9837 * CHOOSE(CONTROL!$C$19, $C$13, 100%, $E$13)</f>
        <v>2.9836999999999998</v>
      </c>
      <c r="K92" s="61">
        <f>2.9839 * CHOOSE(CONTROL!$C$19, $C$13, 100%, $E$13)</f>
        <v>2.9839000000000002</v>
      </c>
      <c r="L92" s="4"/>
      <c r="M92" s="4"/>
      <c r="N92" s="4"/>
    </row>
    <row r="93" spans="1:14" ht="15">
      <c r="A93" s="13">
        <v>44682</v>
      </c>
      <c r="B93" s="60">
        <f>2.9156 * CHOOSE(CONTROL!$C$19, $C$13, 100%, $E$13)</f>
        <v>2.9156</v>
      </c>
      <c r="C93" s="60">
        <f>2.9156 * CHOOSE(CONTROL!$C$19, $C$13, 100%, $E$13)</f>
        <v>2.9156</v>
      </c>
      <c r="D93" s="60">
        <f>2.9459 * CHOOSE(CONTROL!$C$19, $C$13, 100%, $E$13)</f>
        <v>2.9459</v>
      </c>
      <c r="E93" s="61">
        <f>2.9913 * CHOOSE(CONTROL!$C$19, $C$13, 100%, $E$13)</f>
        <v>2.9912999999999998</v>
      </c>
      <c r="F93" s="61">
        <f>2.9913 * CHOOSE(CONTROL!$C$19, $C$13, 100%, $E$13)</f>
        <v>2.9912999999999998</v>
      </c>
      <c r="G93" s="61">
        <f>2.9932 * CHOOSE(CONTROL!$C$19, $C$13, 100%, $E$13)</f>
        <v>2.9931999999999999</v>
      </c>
      <c r="H93" s="61">
        <f>4.8879* CHOOSE(CONTROL!$C$19, $C$13, 100%, $E$13)</f>
        <v>4.8879000000000001</v>
      </c>
      <c r="I93" s="61">
        <f>4.8898 * CHOOSE(CONTROL!$C$19, $C$13, 100%, $E$13)</f>
        <v>4.8898000000000001</v>
      </c>
      <c r="J93" s="61">
        <f>2.9913 * CHOOSE(CONTROL!$C$19, $C$13, 100%, $E$13)</f>
        <v>2.9912999999999998</v>
      </c>
      <c r="K93" s="61">
        <f>2.9932 * CHOOSE(CONTROL!$C$19, $C$13, 100%, $E$13)</f>
        <v>2.9931999999999999</v>
      </c>
      <c r="L93" s="4"/>
      <c r="M93" s="4"/>
      <c r="N93" s="4"/>
    </row>
    <row r="94" spans="1:14" ht="15">
      <c r="A94" s="13">
        <v>44713</v>
      </c>
      <c r="B94" s="60">
        <f>2.9216 * CHOOSE(CONTROL!$C$19, $C$13, 100%, $E$13)</f>
        <v>2.9216000000000002</v>
      </c>
      <c r="C94" s="60">
        <f>2.9216 * CHOOSE(CONTROL!$C$19, $C$13, 100%, $E$13)</f>
        <v>2.9216000000000002</v>
      </c>
      <c r="D94" s="60">
        <f>2.952 * CHOOSE(CONTROL!$C$19, $C$13, 100%, $E$13)</f>
        <v>2.952</v>
      </c>
      <c r="E94" s="61">
        <f>2.9879 * CHOOSE(CONTROL!$C$19, $C$13, 100%, $E$13)</f>
        <v>2.9878999999999998</v>
      </c>
      <c r="F94" s="61">
        <f>2.9879 * CHOOSE(CONTROL!$C$19, $C$13, 100%, $E$13)</f>
        <v>2.9878999999999998</v>
      </c>
      <c r="G94" s="61">
        <f>2.9898 * CHOOSE(CONTROL!$C$19, $C$13, 100%, $E$13)</f>
        <v>2.9897999999999998</v>
      </c>
      <c r="H94" s="61">
        <f>4.8981* CHOOSE(CONTROL!$C$19, $C$13, 100%, $E$13)</f>
        <v>4.8981000000000003</v>
      </c>
      <c r="I94" s="61">
        <f>4.9 * CHOOSE(CONTROL!$C$19, $C$13, 100%, $E$13)</f>
        <v>4.9000000000000004</v>
      </c>
      <c r="J94" s="61">
        <f>2.9879 * CHOOSE(CONTROL!$C$19, $C$13, 100%, $E$13)</f>
        <v>2.9878999999999998</v>
      </c>
      <c r="K94" s="61">
        <f>2.9898 * CHOOSE(CONTROL!$C$19, $C$13, 100%, $E$13)</f>
        <v>2.9897999999999998</v>
      </c>
      <c r="L94" s="4"/>
      <c r="M94" s="4"/>
      <c r="N94" s="4"/>
    </row>
    <row r="95" spans="1:14" ht="15">
      <c r="A95" s="13">
        <v>44743</v>
      </c>
      <c r="B95" s="60">
        <f>3.0359 * CHOOSE(CONTROL!$C$19, $C$13, 100%, $E$13)</f>
        <v>3.0358999999999998</v>
      </c>
      <c r="C95" s="60">
        <f>3.0359 * CHOOSE(CONTROL!$C$19, $C$13, 100%, $E$13)</f>
        <v>3.0358999999999998</v>
      </c>
      <c r="D95" s="60">
        <f>3.0663 * CHOOSE(CONTROL!$C$19, $C$13, 100%, $E$13)</f>
        <v>3.0663</v>
      </c>
      <c r="E95" s="61">
        <f>3.0661 * CHOOSE(CONTROL!$C$19, $C$13, 100%, $E$13)</f>
        <v>3.0661</v>
      </c>
      <c r="F95" s="61">
        <f>3.0661 * CHOOSE(CONTROL!$C$19, $C$13, 100%, $E$13)</f>
        <v>3.0661</v>
      </c>
      <c r="G95" s="61">
        <f>3.068 * CHOOSE(CONTROL!$C$19, $C$13, 100%, $E$13)</f>
        <v>3.0680000000000001</v>
      </c>
      <c r="H95" s="61">
        <f>4.9083* CHOOSE(CONTROL!$C$19, $C$13, 100%, $E$13)</f>
        <v>4.9082999999999997</v>
      </c>
      <c r="I95" s="61">
        <f>4.9102 * CHOOSE(CONTROL!$C$19, $C$13, 100%, $E$13)</f>
        <v>4.9101999999999997</v>
      </c>
      <c r="J95" s="61">
        <f>3.0661 * CHOOSE(CONTROL!$C$19, $C$13, 100%, $E$13)</f>
        <v>3.0661</v>
      </c>
      <c r="K95" s="61">
        <f>3.068 * CHOOSE(CONTROL!$C$19, $C$13, 100%, $E$13)</f>
        <v>3.0680000000000001</v>
      </c>
      <c r="L95" s="4"/>
      <c r="M95" s="4"/>
      <c r="N95" s="4"/>
    </row>
    <row r="96" spans="1:14" ht="15">
      <c r="A96" s="13">
        <v>44774</v>
      </c>
      <c r="B96" s="60">
        <f>3.0426 * CHOOSE(CONTROL!$C$19, $C$13, 100%, $E$13)</f>
        <v>3.0426000000000002</v>
      </c>
      <c r="C96" s="60">
        <f>3.0426 * CHOOSE(CONTROL!$C$19, $C$13, 100%, $E$13)</f>
        <v>3.0426000000000002</v>
      </c>
      <c r="D96" s="60">
        <f>3.0729 * CHOOSE(CONTROL!$C$19, $C$13, 100%, $E$13)</f>
        <v>3.0729000000000002</v>
      </c>
      <c r="E96" s="61">
        <f>3.0478 * CHOOSE(CONTROL!$C$19, $C$13, 100%, $E$13)</f>
        <v>3.0478000000000001</v>
      </c>
      <c r="F96" s="61">
        <f>3.0478 * CHOOSE(CONTROL!$C$19, $C$13, 100%, $E$13)</f>
        <v>3.0478000000000001</v>
      </c>
      <c r="G96" s="61">
        <f>3.0497 * CHOOSE(CONTROL!$C$19, $C$13, 100%, $E$13)</f>
        <v>3.0497000000000001</v>
      </c>
      <c r="H96" s="61">
        <f>4.9186* CHOOSE(CONTROL!$C$19, $C$13, 100%, $E$13)</f>
        <v>4.9185999999999996</v>
      </c>
      <c r="I96" s="61">
        <f>4.9205 * CHOOSE(CONTROL!$C$19, $C$13, 100%, $E$13)</f>
        <v>4.9204999999999997</v>
      </c>
      <c r="J96" s="61">
        <f>3.0478 * CHOOSE(CONTROL!$C$19, $C$13, 100%, $E$13)</f>
        <v>3.0478000000000001</v>
      </c>
      <c r="K96" s="61">
        <f>3.0497 * CHOOSE(CONTROL!$C$19, $C$13, 100%, $E$13)</f>
        <v>3.0497000000000001</v>
      </c>
      <c r="L96" s="4"/>
      <c r="M96" s="4"/>
      <c r="N96" s="4"/>
    </row>
    <row r="97" spans="1:14" ht="15">
      <c r="A97" s="13">
        <v>44805</v>
      </c>
      <c r="B97" s="60">
        <f>3.0395 * CHOOSE(CONTROL!$C$19, $C$13, 100%, $E$13)</f>
        <v>3.0394999999999999</v>
      </c>
      <c r="C97" s="60">
        <f>3.0395 * CHOOSE(CONTROL!$C$19, $C$13, 100%, $E$13)</f>
        <v>3.0394999999999999</v>
      </c>
      <c r="D97" s="60">
        <f>3.0699 * CHOOSE(CONTROL!$C$19, $C$13, 100%, $E$13)</f>
        <v>3.0699000000000001</v>
      </c>
      <c r="E97" s="61">
        <f>3.0432 * CHOOSE(CONTROL!$C$19, $C$13, 100%, $E$13)</f>
        <v>3.0432000000000001</v>
      </c>
      <c r="F97" s="61">
        <f>3.0432 * CHOOSE(CONTROL!$C$19, $C$13, 100%, $E$13)</f>
        <v>3.0432000000000001</v>
      </c>
      <c r="G97" s="61">
        <f>3.0451 * CHOOSE(CONTROL!$C$19, $C$13, 100%, $E$13)</f>
        <v>3.0451000000000001</v>
      </c>
      <c r="H97" s="61">
        <f>4.9288* CHOOSE(CONTROL!$C$19, $C$13, 100%, $E$13)</f>
        <v>4.9287999999999998</v>
      </c>
      <c r="I97" s="61">
        <f>4.9307 * CHOOSE(CONTROL!$C$19, $C$13, 100%, $E$13)</f>
        <v>4.9306999999999999</v>
      </c>
      <c r="J97" s="61">
        <f>3.0432 * CHOOSE(CONTROL!$C$19, $C$13, 100%, $E$13)</f>
        <v>3.0432000000000001</v>
      </c>
      <c r="K97" s="61">
        <f>3.0451 * CHOOSE(CONTROL!$C$19, $C$13, 100%, $E$13)</f>
        <v>3.0451000000000001</v>
      </c>
      <c r="L97" s="4"/>
      <c r="M97" s="4"/>
      <c r="N97" s="4"/>
    </row>
    <row r="98" spans="1:14" ht="15">
      <c r="A98" s="13">
        <v>44835</v>
      </c>
      <c r="B98" s="60">
        <f>3.0312 * CHOOSE(CONTROL!$C$19, $C$13, 100%, $E$13)</f>
        <v>3.0312000000000001</v>
      </c>
      <c r="C98" s="60">
        <f>3.0312 * CHOOSE(CONTROL!$C$19, $C$13, 100%, $E$13)</f>
        <v>3.0312000000000001</v>
      </c>
      <c r="D98" s="60">
        <f>3.0464 * CHOOSE(CONTROL!$C$19, $C$13, 100%, $E$13)</f>
        <v>3.0464000000000002</v>
      </c>
      <c r="E98" s="61">
        <f>3.04 * CHOOSE(CONTROL!$C$19, $C$13, 100%, $E$13)</f>
        <v>3.04</v>
      </c>
      <c r="F98" s="61">
        <f>3.04 * CHOOSE(CONTROL!$C$19, $C$13, 100%, $E$13)</f>
        <v>3.04</v>
      </c>
      <c r="G98" s="61">
        <f>3.0401 * CHOOSE(CONTROL!$C$19, $C$13, 100%, $E$13)</f>
        <v>3.0400999999999998</v>
      </c>
      <c r="H98" s="61">
        <f>4.9391* CHOOSE(CONTROL!$C$19, $C$13, 100%, $E$13)</f>
        <v>4.9390999999999998</v>
      </c>
      <c r="I98" s="61">
        <f>4.9392 * CHOOSE(CONTROL!$C$19, $C$13, 100%, $E$13)</f>
        <v>4.9391999999999996</v>
      </c>
      <c r="J98" s="61">
        <f>3.04 * CHOOSE(CONTROL!$C$19, $C$13, 100%, $E$13)</f>
        <v>3.04</v>
      </c>
      <c r="K98" s="61">
        <f>3.0401 * CHOOSE(CONTROL!$C$19, $C$13, 100%, $E$13)</f>
        <v>3.0400999999999998</v>
      </c>
      <c r="L98" s="4"/>
      <c r="M98" s="4"/>
      <c r="N98" s="4"/>
    </row>
    <row r="99" spans="1:14" ht="15">
      <c r="A99" s="13">
        <v>44866</v>
      </c>
      <c r="B99" s="60">
        <f>3.0342 * CHOOSE(CONTROL!$C$19, $C$13, 100%, $E$13)</f>
        <v>3.0341999999999998</v>
      </c>
      <c r="C99" s="60">
        <f>3.0342 * CHOOSE(CONTROL!$C$19, $C$13, 100%, $E$13)</f>
        <v>3.0341999999999998</v>
      </c>
      <c r="D99" s="60">
        <f>3.0494 * CHOOSE(CONTROL!$C$19, $C$13, 100%, $E$13)</f>
        <v>3.0493999999999999</v>
      </c>
      <c r="E99" s="61">
        <f>3.0472 * CHOOSE(CONTROL!$C$19, $C$13, 100%, $E$13)</f>
        <v>3.0472000000000001</v>
      </c>
      <c r="F99" s="61">
        <f>3.0472 * CHOOSE(CONTROL!$C$19, $C$13, 100%, $E$13)</f>
        <v>3.0472000000000001</v>
      </c>
      <c r="G99" s="61">
        <f>3.0473 * CHOOSE(CONTROL!$C$19, $C$13, 100%, $E$13)</f>
        <v>3.0472999999999999</v>
      </c>
      <c r="H99" s="61">
        <f>4.9494* CHOOSE(CONTROL!$C$19, $C$13, 100%, $E$13)</f>
        <v>4.9493999999999998</v>
      </c>
      <c r="I99" s="61">
        <f>4.9495 * CHOOSE(CONTROL!$C$19, $C$13, 100%, $E$13)</f>
        <v>4.9494999999999996</v>
      </c>
      <c r="J99" s="61">
        <f>3.0472 * CHOOSE(CONTROL!$C$19, $C$13, 100%, $E$13)</f>
        <v>3.0472000000000001</v>
      </c>
      <c r="K99" s="61">
        <f>3.0473 * CHOOSE(CONTROL!$C$19, $C$13, 100%, $E$13)</f>
        <v>3.0472999999999999</v>
      </c>
      <c r="L99" s="4"/>
      <c r="M99" s="4"/>
      <c r="N99" s="4"/>
    </row>
    <row r="100" spans="1:14" ht="15">
      <c r="A100" s="13">
        <v>44896</v>
      </c>
      <c r="B100" s="60">
        <f>3.0342 * CHOOSE(CONTROL!$C$19, $C$13, 100%, $E$13)</f>
        <v>3.0341999999999998</v>
      </c>
      <c r="C100" s="60">
        <f>3.0342 * CHOOSE(CONTROL!$C$19, $C$13, 100%, $E$13)</f>
        <v>3.0341999999999998</v>
      </c>
      <c r="D100" s="60">
        <f>3.0494 * CHOOSE(CONTROL!$C$19, $C$13, 100%, $E$13)</f>
        <v>3.0493999999999999</v>
      </c>
      <c r="E100" s="61">
        <f>3.0344 * CHOOSE(CONTROL!$C$19, $C$13, 100%, $E$13)</f>
        <v>3.0344000000000002</v>
      </c>
      <c r="F100" s="61">
        <f>3.0344 * CHOOSE(CONTROL!$C$19, $C$13, 100%, $E$13)</f>
        <v>3.0344000000000002</v>
      </c>
      <c r="G100" s="61">
        <f>3.0346 * CHOOSE(CONTROL!$C$19, $C$13, 100%, $E$13)</f>
        <v>3.0346000000000002</v>
      </c>
      <c r="H100" s="61">
        <f>4.9597* CHOOSE(CONTROL!$C$19, $C$13, 100%, $E$13)</f>
        <v>4.9596999999999998</v>
      </c>
      <c r="I100" s="61">
        <f>4.9598 * CHOOSE(CONTROL!$C$19, $C$13, 100%, $E$13)</f>
        <v>4.9598000000000004</v>
      </c>
      <c r="J100" s="61">
        <f>3.0344 * CHOOSE(CONTROL!$C$19, $C$13, 100%, $E$13)</f>
        <v>3.0344000000000002</v>
      </c>
      <c r="K100" s="61">
        <f>3.0346 * CHOOSE(CONTROL!$C$19, $C$13, 100%, $E$13)</f>
        <v>3.0346000000000002</v>
      </c>
      <c r="L100" s="4"/>
      <c r="M100" s="4"/>
      <c r="N100" s="4"/>
    </row>
    <row r="101" spans="1:14" ht="15">
      <c r="A101" s="13">
        <v>44927</v>
      </c>
      <c r="B101" s="60">
        <f>3.0584 * CHOOSE(CONTROL!$C$19, $C$13, 100%, $E$13)</f>
        <v>3.0583999999999998</v>
      </c>
      <c r="C101" s="60">
        <f>3.0584 * CHOOSE(CONTROL!$C$19, $C$13, 100%, $E$13)</f>
        <v>3.0583999999999998</v>
      </c>
      <c r="D101" s="60">
        <f>3.0735 * CHOOSE(CONTROL!$C$19, $C$13, 100%, $E$13)</f>
        <v>3.0735000000000001</v>
      </c>
      <c r="E101" s="61">
        <f>3.1403 * CHOOSE(CONTROL!$C$19, $C$13, 100%, $E$13)</f>
        <v>3.1402999999999999</v>
      </c>
      <c r="F101" s="61">
        <f>3.1403 * CHOOSE(CONTROL!$C$19, $C$13, 100%, $E$13)</f>
        <v>3.1402999999999999</v>
      </c>
      <c r="G101" s="61">
        <f>3.1405 * CHOOSE(CONTROL!$C$19, $C$13, 100%, $E$13)</f>
        <v>3.1404999999999998</v>
      </c>
      <c r="H101" s="61">
        <f>4.97* CHOOSE(CONTROL!$C$19, $C$13, 100%, $E$13)</f>
        <v>4.97</v>
      </c>
      <c r="I101" s="61">
        <f>4.9702 * CHOOSE(CONTROL!$C$19, $C$13, 100%, $E$13)</f>
        <v>4.9702000000000002</v>
      </c>
      <c r="J101" s="61">
        <f>3.1403 * CHOOSE(CONTROL!$C$19, $C$13, 100%, $E$13)</f>
        <v>3.1402999999999999</v>
      </c>
      <c r="K101" s="61">
        <f>3.1405 * CHOOSE(CONTROL!$C$19, $C$13, 100%, $E$13)</f>
        <v>3.1404999999999998</v>
      </c>
      <c r="L101" s="4"/>
      <c r="M101" s="4"/>
      <c r="N101" s="4"/>
    </row>
    <row r="102" spans="1:14" ht="15">
      <c r="A102" s="13">
        <v>44958</v>
      </c>
      <c r="B102" s="60">
        <f>3.0553 * CHOOSE(CONTROL!$C$19, $C$13, 100%, $E$13)</f>
        <v>3.0552999999999999</v>
      </c>
      <c r="C102" s="60">
        <f>3.0553 * CHOOSE(CONTROL!$C$19, $C$13, 100%, $E$13)</f>
        <v>3.0552999999999999</v>
      </c>
      <c r="D102" s="60">
        <f>3.0705 * CHOOSE(CONTROL!$C$19, $C$13, 100%, $E$13)</f>
        <v>3.0705</v>
      </c>
      <c r="E102" s="61">
        <f>3.1066 * CHOOSE(CONTROL!$C$19, $C$13, 100%, $E$13)</f>
        <v>3.1065999999999998</v>
      </c>
      <c r="F102" s="61">
        <f>3.1066 * CHOOSE(CONTROL!$C$19, $C$13, 100%, $E$13)</f>
        <v>3.1065999999999998</v>
      </c>
      <c r="G102" s="61">
        <f>3.1068 * CHOOSE(CONTROL!$C$19, $C$13, 100%, $E$13)</f>
        <v>3.1067999999999998</v>
      </c>
      <c r="H102" s="61">
        <f>4.9804* CHOOSE(CONTROL!$C$19, $C$13, 100%, $E$13)</f>
        <v>4.9804000000000004</v>
      </c>
      <c r="I102" s="61">
        <f>4.9805 * CHOOSE(CONTROL!$C$19, $C$13, 100%, $E$13)</f>
        <v>4.9805000000000001</v>
      </c>
      <c r="J102" s="61">
        <f>3.1066 * CHOOSE(CONTROL!$C$19, $C$13, 100%, $E$13)</f>
        <v>3.1065999999999998</v>
      </c>
      <c r="K102" s="61">
        <f>3.1068 * CHOOSE(CONTROL!$C$19, $C$13, 100%, $E$13)</f>
        <v>3.1067999999999998</v>
      </c>
      <c r="L102" s="4"/>
      <c r="M102" s="4"/>
      <c r="N102" s="4"/>
    </row>
    <row r="103" spans="1:14" ht="15">
      <c r="A103" s="13">
        <v>44986</v>
      </c>
      <c r="B103" s="60">
        <f>3.0523 * CHOOSE(CONTROL!$C$19, $C$13, 100%, $E$13)</f>
        <v>3.0522999999999998</v>
      </c>
      <c r="C103" s="60">
        <f>3.0523 * CHOOSE(CONTROL!$C$19, $C$13, 100%, $E$13)</f>
        <v>3.0522999999999998</v>
      </c>
      <c r="D103" s="60">
        <f>3.0675 * CHOOSE(CONTROL!$C$19, $C$13, 100%, $E$13)</f>
        <v>3.0674999999999999</v>
      </c>
      <c r="E103" s="61">
        <f>3.1294 * CHOOSE(CONTROL!$C$19, $C$13, 100%, $E$13)</f>
        <v>3.1294</v>
      </c>
      <c r="F103" s="61">
        <f>3.1294 * CHOOSE(CONTROL!$C$19, $C$13, 100%, $E$13)</f>
        <v>3.1294</v>
      </c>
      <c r="G103" s="61">
        <f>3.1296 * CHOOSE(CONTROL!$C$19, $C$13, 100%, $E$13)</f>
        <v>3.1295999999999999</v>
      </c>
      <c r="H103" s="61">
        <f>4.9907* CHOOSE(CONTROL!$C$19, $C$13, 100%, $E$13)</f>
        <v>4.9907000000000004</v>
      </c>
      <c r="I103" s="61">
        <f>4.9909 * CHOOSE(CONTROL!$C$19, $C$13, 100%, $E$13)</f>
        <v>4.9908999999999999</v>
      </c>
      <c r="J103" s="61">
        <f>3.1294 * CHOOSE(CONTROL!$C$19, $C$13, 100%, $E$13)</f>
        <v>3.1294</v>
      </c>
      <c r="K103" s="61">
        <f>3.1296 * CHOOSE(CONTROL!$C$19, $C$13, 100%, $E$13)</f>
        <v>3.1295999999999999</v>
      </c>
      <c r="L103" s="4"/>
      <c r="M103" s="4"/>
      <c r="N103" s="4"/>
    </row>
    <row r="104" spans="1:14" ht="15">
      <c r="A104" s="13">
        <v>45017</v>
      </c>
      <c r="B104" s="60">
        <f>3.0491 * CHOOSE(CONTROL!$C$19, $C$13, 100%, $E$13)</f>
        <v>3.0491000000000001</v>
      </c>
      <c r="C104" s="60">
        <f>3.0491 * CHOOSE(CONTROL!$C$19, $C$13, 100%, $E$13)</f>
        <v>3.0491000000000001</v>
      </c>
      <c r="D104" s="60">
        <f>3.0643 * CHOOSE(CONTROL!$C$19, $C$13, 100%, $E$13)</f>
        <v>3.0642999999999998</v>
      </c>
      <c r="E104" s="61">
        <f>3.1519 * CHOOSE(CONTROL!$C$19, $C$13, 100%, $E$13)</f>
        <v>3.1518999999999999</v>
      </c>
      <c r="F104" s="61">
        <f>3.1519 * CHOOSE(CONTROL!$C$19, $C$13, 100%, $E$13)</f>
        <v>3.1518999999999999</v>
      </c>
      <c r="G104" s="61">
        <f>3.1521 * CHOOSE(CONTROL!$C$19, $C$13, 100%, $E$13)</f>
        <v>3.1520999999999999</v>
      </c>
      <c r="H104" s="61">
        <f>5.0011* CHOOSE(CONTROL!$C$19, $C$13, 100%, $E$13)</f>
        <v>5.0011000000000001</v>
      </c>
      <c r="I104" s="61">
        <f>5.0013 * CHOOSE(CONTROL!$C$19, $C$13, 100%, $E$13)</f>
        <v>5.0012999999999996</v>
      </c>
      <c r="J104" s="61">
        <f>3.1519 * CHOOSE(CONTROL!$C$19, $C$13, 100%, $E$13)</f>
        <v>3.1518999999999999</v>
      </c>
      <c r="K104" s="61">
        <f>3.1521 * CHOOSE(CONTROL!$C$19, $C$13, 100%, $E$13)</f>
        <v>3.1520999999999999</v>
      </c>
      <c r="L104" s="4"/>
      <c r="M104" s="4"/>
      <c r="N104" s="4"/>
    </row>
    <row r="105" spans="1:14" ht="15">
      <c r="A105" s="13">
        <v>45047</v>
      </c>
      <c r="B105" s="60">
        <f>3.0491 * CHOOSE(CONTROL!$C$19, $C$13, 100%, $E$13)</f>
        <v>3.0491000000000001</v>
      </c>
      <c r="C105" s="60">
        <f>3.0491 * CHOOSE(CONTROL!$C$19, $C$13, 100%, $E$13)</f>
        <v>3.0491000000000001</v>
      </c>
      <c r="D105" s="60">
        <f>3.0794 * CHOOSE(CONTROL!$C$19, $C$13, 100%, $E$13)</f>
        <v>3.0794000000000001</v>
      </c>
      <c r="E105" s="61">
        <f>3.1619 * CHOOSE(CONTROL!$C$19, $C$13, 100%, $E$13)</f>
        <v>3.1619000000000002</v>
      </c>
      <c r="F105" s="61">
        <f>3.1619 * CHOOSE(CONTROL!$C$19, $C$13, 100%, $E$13)</f>
        <v>3.1619000000000002</v>
      </c>
      <c r="G105" s="61">
        <f>3.1638 * CHOOSE(CONTROL!$C$19, $C$13, 100%, $E$13)</f>
        <v>3.1638000000000002</v>
      </c>
      <c r="H105" s="61">
        <f>5.0116* CHOOSE(CONTROL!$C$19, $C$13, 100%, $E$13)</f>
        <v>5.0115999999999996</v>
      </c>
      <c r="I105" s="61">
        <f>5.0135 * CHOOSE(CONTROL!$C$19, $C$13, 100%, $E$13)</f>
        <v>5.0134999999999996</v>
      </c>
      <c r="J105" s="61">
        <f>3.1619 * CHOOSE(CONTROL!$C$19, $C$13, 100%, $E$13)</f>
        <v>3.1619000000000002</v>
      </c>
      <c r="K105" s="61">
        <f>3.1638 * CHOOSE(CONTROL!$C$19, $C$13, 100%, $E$13)</f>
        <v>3.1638000000000002</v>
      </c>
      <c r="L105" s="4"/>
      <c r="M105" s="4"/>
      <c r="N105" s="4"/>
    </row>
    <row r="106" spans="1:14" ht="15">
      <c r="A106" s="13">
        <v>45078</v>
      </c>
      <c r="B106" s="60">
        <f>3.0552 * CHOOSE(CONTROL!$C$19, $C$13, 100%, $E$13)</f>
        <v>3.0552000000000001</v>
      </c>
      <c r="C106" s="60">
        <f>3.0552 * CHOOSE(CONTROL!$C$19, $C$13, 100%, $E$13)</f>
        <v>3.0552000000000001</v>
      </c>
      <c r="D106" s="60">
        <f>3.0855 * CHOOSE(CONTROL!$C$19, $C$13, 100%, $E$13)</f>
        <v>3.0855000000000001</v>
      </c>
      <c r="E106" s="61">
        <f>3.1561 * CHOOSE(CONTROL!$C$19, $C$13, 100%, $E$13)</f>
        <v>3.1560999999999999</v>
      </c>
      <c r="F106" s="61">
        <f>3.1561 * CHOOSE(CONTROL!$C$19, $C$13, 100%, $E$13)</f>
        <v>3.1560999999999999</v>
      </c>
      <c r="G106" s="61">
        <f>3.158 * CHOOSE(CONTROL!$C$19, $C$13, 100%, $E$13)</f>
        <v>3.1579999999999999</v>
      </c>
      <c r="H106" s="61">
        <f>5.022* CHOOSE(CONTROL!$C$19, $C$13, 100%, $E$13)</f>
        <v>5.0220000000000002</v>
      </c>
      <c r="I106" s="61">
        <f>5.0239 * CHOOSE(CONTROL!$C$19, $C$13, 100%, $E$13)</f>
        <v>5.0239000000000003</v>
      </c>
      <c r="J106" s="61">
        <f>3.1561 * CHOOSE(CONTROL!$C$19, $C$13, 100%, $E$13)</f>
        <v>3.1560999999999999</v>
      </c>
      <c r="K106" s="61">
        <f>3.158 * CHOOSE(CONTROL!$C$19, $C$13, 100%, $E$13)</f>
        <v>3.1579999999999999</v>
      </c>
      <c r="L106" s="4"/>
      <c r="M106" s="4"/>
      <c r="N106" s="4"/>
    </row>
    <row r="107" spans="1:14" ht="15">
      <c r="A107" s="13">
        <v>45108</v>
      </c>
      <c r="B107" s="60">
        <f>3.1 * CHOOSE(CONTROL!$C$19, $C$13, 100%, $E$13)</f>
        <v>3.1</v>
      </c>
      <c r="C107" s="60">
        <f>3.1 * CHOOSE(CONTROL!$C$19, $C$13, 100%, $E$13)</f>
        <v>3.1</v>
      </c>
      <c r="D107" s="60">
        <f>3.1303 * CHOOSE(CONTROL!$C$19, $C$13, 100%, $E$13)</f>
        <v>3.1303000000000001</v>
      </c>
      <c r="E107" s="61">
        <f>3.2154 * CHOOSE(CONTROL!$C$19, $C$13, 100%, $E$13)</f>
        <v>3.2153999999999998</v>
      </c>
      <c r="F107" s="61">
        <f>3.2154 * CHOOSE(CONTROL!$C$19, $C$13, 100%, $E$13)</f>
        <v>3.2153999999999998</v>
      </c>
      <c r="G107" s="61">
        <f>3.2173 * CHOOSE(CONTROL!$C$19, $C$13, 100%, $E$13)</f>
        <v>3.2172999999999998</v>
      </c>
      <c r="H107" s="61">
        <f>5.0325* CHOOSE(CONTROL!$C$19, $C$13, 100%, $E$13)</f>
        <v>5.0324999999999998</v>
      </c>
      <c r="I107" s="61">
        <f>5.0344 * CHOOSE(CONTROL!$C$19, $C$13, 100%, $E$13)</f>
        <v>5.0343999999999998</v>
      </c>
      <c r="J107" s="61">
        <f>3.2154 * CHOOSE(CONTROL!$C$19, $C$13, 100%, $E$13)</f>
        <v>3.2153999999999998</v>
      </c>
      <c r="K107" s="61">
        <f>3.2173 * CHOOSE(CONTROL!$C$19, $C$13, 100%, $E$13)</f>
        <v>3.2172999999999998</v>
      </c>
      <c r="L107" s="4"/>
      <c r="M107" s="4"/>
      <c r="N107" s="4"/>
    </row>
    <row r="108" spans="1:14" ht="15">
      <c r="A108" s="13">
        <v>45139</v>
      </c>
      <c r="B108" s="60">
        <f>3.1066 * CHOOSE(CONTROL!$C$19, $C$13, 100%, $E$13)</f>
        <v>3.1065999999999998</v>
      </c>
      <c r="C108" s="60">
        <f>3.1066 * CHOOSE(CONTROL!$C$19, $C$13, 100%, $E$13)</f>
        <v>3.1065999999999998</v>
      </c>
      <c r="D108" s="60">
        <f>3.137 * CHOOSE(CONTROL!$C$19, $C$13, 100%, $E$13)</f>
        <v>3.137</v>
      </c>
      <c r="E108" s="61">
        <f>3.19 * CHOOSE(CONTROL!$C$19, $C$13, 100%, $E$13)</f>
        <v>3.19</v>
      </c>
      <c r="F108" s="61">
        <f>3.19 * CHOOSE(CONTROL!$C$19, $C$13, 100%, $E$13)</f>
        <v>3.19</v>
      </c>
      <c r="G108" s="61">
        <f>3.1919 * CHOOSE(CONTROL!$C$19, $C$13, 100%, $E$13)</f>
        <v>3.1919</v>
      </c>
      <c r="H108" s="61">
        <f>5.0429* CHOOSE(CONTROL!$C$19, $C$13, 100%, $E$13)</f>
        <v>5.0429000000000004</v>
      </c>
      <c r="I108" s="61">
        <f>5.0448 * CHOOSE(CONTROL!$C$19, $C$13, 100%, $E$13)</f>
        <v>5.0448000000000004</v>
      </c>
      <c r="J108" s="61">
        <f>3.19 * CHOOSE(CONTROL!$C$19, $C$13, 100%, $E$13)</f>
        <v>3.19</v>
      </c>
      <c r="K108" s="61">
        <f>3.1919 * CHOOSE(CONTROL!$C$19, $C$13, 100%, $E$13)</f>
        <v>3.1919</v>
      </c>
      <c r="L108" s="4"/>
      <c r="M108" s="4"/>
      <c r="N108" s="4"/>
    </row>
    <row r="109" spans="1:14" ht="15">
      <c r="A109" s="13">
        <v>45170</v>
      </c>
      <c r="B109" s="60">
        <f>3.1036 * CHOOSE(CONTROL!$C$19, $C$13, 100%, $E$13)</f>
        <v>3.1036000000000001</v>
      </c>
      <c r="C109" s="60">
        <f>3.1036 * CHOOSE(CONTROL!$C$19, $C$13, 100%, $E$13)</f>
        <v>3.1036000000000001</v>
      </c>
      <c r="D109" s="60">
        <f>3.134 * CHOOSE(CONTROL!$C$19, $C$13, 100%, $E$13)</f>
        <v>3.1339999999999999</v>
      </c>
      <c r="E109" s="61">
        <f>3.1845 * CHOOSE(CONTROL!$C$19, $C$13, 100%, $E$13)</f>
        <v>3.1844999999999999</v>
      </c>
      <c r="F109" s="61">
        <f>3.1845 * CHOOSE(CONTROL!$C$19, $C$13, 100%, $E$13)</f>
        <v>3.1844999999999999</v>
      </c>
      <c r="G109" s="61">
        <f>3.1864 * CHOOSE(CONTROL!$C$19, $C$13, 100%, $E$13)</f>
        <v>3.1863999999999999</v>
      </c>
      <c r="H109" s="61">
        <f>5.0534* CHOOSE(CONTROL!$C$19, $C$13, 100%, $E$13)</f>
        <v>5.0533999999999999</v>
      </c>
      <c r="I109" s="61">
        <f>5.0553 * CHOOSE(CONTROL!$C$19, $C$13, 100%, $E$13)</f>
        <v>5.0552999999999999</v>
      </c>
      <c r="J109" s="61">
        <f>3.1845 * CHOOSE(CONTROL!$C$19, $C$13, 100%, $E$13)</f>
        <v>3.1844999999999999</v>
      </c>
      <c r="K109" s="61">
        <f>3.1864 * CHOOSE(CONTROL!$C$19, $C$13, 100%, $E$13)</f>
        <v>3.1863999999999999</v>
      </c>
      <c r="L109" s="4"/>
      <c r="M109" s="4"/>
      <c r="N109" s="4"/>
    </row>
    <row r="110" spans="1:14" ht="15">
      <c r="A110" s="13">
        <v>45200</v>
      </c>
      <c r="B110" s="60">
        <f>3.0955 * CHOOSE(CONTROL!$C$19, $C$13, 100%, $E$13)</f>
        <v>3.0954999999999999</v>
      </c>
      <c r="C110" s="60">
        <f>3.0955 * CHOOSE(CONTROL!$C$19, $C$13, 100%, $E$13)</f>
        <v>3.0954999999999999</v>
      </c>
      <c r="D110" s="60">
        <f>3.1107 * CHOOSE(CONTROL!$C$19, $C$13, 100%, $E$13)</f>
        <v>3.1107</v>
      </c>
      <c r="E110" s="61">
        <f>3.1845 * CHOOSE(CONTROL!$C$19, $C$13, 100%, $E$13)</f>
        <v>3.1844999999999999</v>
      </c>
      <c r="F110" s="61">
        <f>3.1845 * CHOOSE(CONTROL!$C$19, $C$13, 100%, $E$13)</f>
        <v>3.1844999999999999</v>
      </c>
      <c r="G110" s="61">
        <f>3.1847 * CHOOSE(CONTROL!$C$19, $C$13, 100%, $E$13)</f>
        <v>3.1846999999999999</v>
      </c>
      <c r="H110" s="61">
        <f>5.064* CHOOSE(CONTROL!$C$19, $C$13, 100%, $E$13)</f>
        <v>5.0640000000000001</v>
      </c>
      <c r="I110" s="61">
        <f>5.0641 * CHOOSE(CONTROL!$C$19, $C$13, 100%, $E$13)</f>
        <v>5.0640999999999998</v>
      </c>
      <c r="J110" s="61">
        <f>3.1845 * CHOOSE(CONTROL!$C$19, $C$13, 100%, $E$13)</f>
        <v>3.1844999999999999</v>
      </c>
      <c r="K110" s="61">
        <f>3.1847 * CHOOSE(CONTROL!$C$19, $C$13, 100%, $E$13)</f>
        <v>3.1846999999999999</v>
      </c>
      <c r="L110" s="4"/>
      <c r="M110" s="4"/>
      <c r="N110" s="4"/>
    </row>
    <row r="111" spans="1:14" ht="15">
      <c r="A111" s="13">
        <v>45231</v>
      </c>
      <c r="B111" s="60">
        <f>3.0985 * CHOOSE(CONTROL!$C$19, $C$13, 100%, $E$13)</f>
        <v>3.0985</v>
      </c>
      <c r="C111" s="60">
        <f>3.0985 * CHOOSE(CONTROL!$C$19, $C$13, 100%, $E$13)</f>
        <v>3.0985</v>
      </c>
      <c r="D111" s="60">
        <f>3.1137 * CHOOSE(CONTROL!$C$19, $C$13, 100%, $E$13)</f>
        <v>3.1137000000000001</v>
      </c>
      <c r="E111" s="61">
        <f>3.1933 * CHOOSE(CONTROL!$C$19, $C$13, 100%, $E$13)</f>
        <v>3.1932999999999998</v>
      </c>
      <c r="F111" s="61">
        <f>3.1933 * CHOOSE(CONTROL!$C$19, $C$13, 100%, $E$13)</f>
        <v>3.1932999999999998</v>
      </c>
      <c r="G111" s="61">
        <f>3.1935 * CHOOSE(CONTROL!$C$19, $C$13, 100%, $E$13)</f>
        <v>3.1934999999999998</v>
      </c>
      <c r="H111" s="61">
        <f>5.0745* CHOOSE(CONTROL!$C$19, $C$13, 100%, $E$13)</f>
        <v>5.0744999999999996</v>
      </c>
      <c r="I111" s="61">
        <f>5.0747 * CHOOSE(CONTROL!$C$19, $C$13, 100%, $E$13)</f>
        <v>5.0747</v>
      </c>
      <c r="J111" s="61">
        <f>3.1933 * CHOOSE(CONTROL!$C$19, $C$13, 100%, $E$13)</f>
        <v>3.1932999999999998</v>
      </c>
      <c r="K111" s="61">
        <f>3.1935 * CHOOSE(CONTROL!$C$19, $C$13, 100%, $E$13)</f>
        <v>3.1934999999999998</v>
      </c>
      <c r="L111" s="4"/>
      <c r="M111" s="4"/>
      <c r="N111" s="4"/>
    </row>
    <row r="112" spans="1:14" ht="15">
      <c r="A112" s="13">
        <v>45261</v>
      </c>
      <c r="B112" s="60">
        <f>3.0985 * CHOOSE(CONTROL!$C$19, $C$13, 100%, $E$13)</f>
        <v>3.0985</v>
      </c>
      <c r="C112" s="60">
        <f>3.0985 * CHOOSE(CONTROL!$C$19, $C$13, 100%, $E$13)</f>
        <v>3.0985</v>
      </c>
      <c r="D112" s="60">
        <f>3.1137 * CHOOSE(CONTROL!$C$19, $C$13, 100%, $E$13)</f>
        <v>3.1137000000000001</v>
      </c>
      <c r="E112" s="61">
        <f>3.1766 * CHOOSE(CONTROL!$C$19, $C$13, 100%, $E$13)</f>
        <v>3.1766000000000001</v>
      </c>
      <c r="F112" s="61">
        <f>3.1766 * CHOOSE(CONTROL!$C$19, $C$13, 100%, $E$13)</f>
        <v>3.1766000000000001</v>
      </c>
      <c r="G112" s="61">
        <f>3.1768 * CHOOSE(CONTROL!$C$19, $C$13, 100%, $E$13)</f>
        <v>3.1768000000000001</v>
      </c>
      <c r="H112" s="61">
        <f>5.0851* CHOOSE(CONTROL!$C$19, $C$13, 100%, $E$13)</f>
        <v>5.0850999999999997</v>
      </c>
      <c r="I112" s="61">
        <f>5.0853 * CHOOSE(CONTROL!$C$19, $C$13, 100%, $E$13)</f>
        <v>5.0853000000000002</v>
      </c>
      <c r="J112" s="61">
        <f>3.1766 * CHOOSE(CONTROL!$C$19, $C$13, 100%, $E$13)</f>
        <v>3.1766000000000001</v>
      </c>
      <c r="K112" s="61">
        <f>3.1768 * CHOOSE(CONTROL!$C$19, $C$13, 100%, $E$13)</f>
        <v>3.1768000000000001</v>
      </c>
      <c r="L112" s="4"/>
      <c r="M112" s="4"/>
      <c r="N112" s="4"/>
    </row>
    <row r="113" spans="1:14" ht="15">
      <c r="A113" s="13">
        <v>45292</v>
      </c>
      <c r="B113" s="60">
        <f>3.129 * CHOOSE(CONTROL!$C$19, $C$13, 100%, $E$13)</f>
        <v>3.129</v>
      </c>
      <c r="C113" s="60">
        <f>3.129 * CHOOSE(CONTROL!$C$19, $C$13, 100%, $E$13)</f>
        <v>3.129</v>
      </c>
      <c r="D113" s="60">
        <f>3.1442 * CHOOSE(CONTROL!$C$19, $C$13, 100%, $E$13)</f>
        <v>3.1442000000000001</v>
      </c>
      <c r="E113" s="61">
        <f>3.255 * CHOOSE(CONTROL!$C$19, $C$13, 100%, $E$13)</f>
        <v>3.2549999999999999</v>
      </c>
      <c r="F113" s="61">
        <f>3.255 * CHOOSE(CONTROL!$C$19, $C$13, 100%, $E$13)</f>
        <v>3.2549999999999999</v>
      </c>
      <c r="G113" s="61">
        <f>3.2551 * CHOOSE(CONTROL!$C$19, $C$13, 100%, $E$13)</f>
        <v>3.2551000000000001</v>
      </c>
      <c r="H113" s="61">
        <f>5.0957* CHOOSE(CONTROL!$C$19, $C$13, 100%, $E$13)</f>
        <v>5.0956999999999999</v>
      </c>
      <c r="I113" s="61">
        <f>5.0959 * CHOOSE(CONTROL!$C$19, $C$13, 100%, $E$13)</f>
        <v>5.0959000000000003</v>
      </c>
      <c r="J113" s="61">
        <f>3.255 * CHOOSE(CONTROL!$C$19, $C$13, 100%, $E$13)</f>
        <v>3.2549999999999999</v>
      </c>
      <c r="K113" s="61">
        <f>3.2551 * CHOOSE(CONTROL!$C$19, $C$13, 100%, $E$13)</f>
        <v>3.2551000000000001</v>
      </c>
      <c r="L113" s="4"/>
      <c r="M113" s="4"/>
      <c r="N113" s="4"/>
    </row>
    <row r="114" spans="1:14" ht="15">
      <c r="A114" s="13">
        <v>45323</v>
      </c>
      <c r="B114" s="60">
        <f>3.1259 * CHOOSE(CONTROL!$C$19, $C$13, 100%, $E$13)</f>
        <v>3.1259000000000001</v>
      </c>
      <c r="C114" s="60">
        <f>3.1259 * CHOOSE(CONTROL!$C$19, $C$13, 100%, $E$13)</f>
        <v>3.1259000000000001</v>
      </c>
      <c r="D114" s="60">
        <f>3.1411 * CHOOSE(CONTROL!$C$19, $C$13, 100%, $E$13)</f>
        <v>3.1410999999999998</v>
      </c>
      <c r="E114" s="61">
        <f>3.2171 * CHOOSE(CONTROL!$C$19, $C$13, 100%, $E$13)</f>
        <v>3.2170999999999998</v>
      </c>
      <c r="F114" s="61">
        <f>3.2171 * CHOOSE(CONTROL!$C$19, $C$13, 100%, $E$13)</f>
        <v>3.2170999999999998</v>
      </c>
      <c r="G114" s="61">
        <f>3.2172 * CHOOSE(CONTROL!$C$19, $C$13, 100%, $E$13)</f>
        <v>3.2172000000000001</v>
      </c>
      <c r="H114" s="61">
        <f>5.1063* CHOOSE(CONTROL!$C$19, $C$13, 100%, $E$13)</f>
        <v>5.1063000000000001</v>
      </c>
      <c r="I114" s="61">
        <f>5.1065 * CHOOSE(CONTROL!$C$19, $C$13, 100%, $E$13)</f>
        <v>5.1064999999999996</v>
      </c>
      <c r="J114" s="61">
        <f>3.2171 * CHOOSE(CONTROL!$C$19, $C$13, 100%, $E$13)</f>
        <v>3.2170999999999998</v>
      </c>
      <c r="K114" s="61">
        <f>3.2172 * CHOOSE(CONTROL!$C$19, $C$13, 100%, $E$13)</f>
        <v>3.2172000000000001</v>
      </c>
      <c r="L114" s="4"/>
      <c r="M114" s="4"/>
      <c r="N114" s="4"/>
    </row>
    <row r="115" spans="1:14" ht="15">
      <c r="A115" s="13">
        <v>45352</v>
      </c>
      <c r="B115" s="60">
        <f>3.1229 * CHOOSE(CONTROL!$C$19, $C$13, 100%, $E$13)</f>
        <v>3.1229</v>
      </c>
      <c r="C115" s="60">
        <f>3.1229 * CHOOSE(CONTROL!$C$19, $C$13, 100%, $E$13)</f>
        <v>3.1229</v>
      </c>
      <c r="D115" s="60">
        <f>3.1381 * CHOOSE(CONTROL!$C$19, $C$13, 100%, $E$13)</f>
        <v>3.1381000000000001</v>
      </c>
      <c r="E115" s="61">
        <f>3.2432 * CHOOSE(CONTROL!$C$19, $C$13, 100%, $E$13)</f>
        <v>3.2431999999999999</v>
      </c>
      <c r="F115" s="61">
        <f>3.2432 * CHOOSE(CONTROL!$C$19, $C$13, 100%, $E$13)</f>
        <v>3.2431999999999999</v>
      </c>
      <c r="G115" s="61">
        <f>3.2433 * CHOOSE(CONTROL!$C$19, $C$13, 100%, $E$13)</f>
        <v>3.2433000000000001</v>
      </c>
      <c r="H115" s="61">
        <f>5.1169* CHOOSE(CONTROL!$C$19, $C$13, 100%, $E$13)</f>
        <v>5.1169000000000002</v>
      </c>
      <c r="I115" s="61">
        <f>5.1171 * CHOOSE(CONTROL!$C$19, $C$13, 100%, $E$13)</f>
        <v>5.1170999999999998</v>
      </c>
      <c r="J115" s="61">
        <f>3.2432 * CHOOSE(CONTROL!$C$19, $C$13, 100%, $E$13)</f>
        <v>3.2431999999999999</v>
      </c>
      <c r="K115" s="61">
        <f>3.2433 * CHOOSE(CONTROL!$C$19, $C$13, 100%, $E$13)</f>
        <v>3.2433000000000001</v>
      </c>
      <c r="L115" s="4"/>
      <c r="M115" s="4"/>
      <c r="N115" s="4"/>
    </row>
    <row r="116" spans="1:14" ht="15">
      <c r="A116" s="13">
        <v>45383</v>
      </c>
      <c r="B116" s="60">
        <f>3.1198 * CHOOSE(CONTROL!$C$19, $C$13, 100%, $E$13)</f>
        <v>3.1198000000000001</v>
      </c>
      <c r="C116" s="60">
        <f>3.1198 * CHOOSE(CONTROL!$C$19, $C$13, 100%, $E$13)</f>
        <v>3.1198000000000001</v>
      </c>
      <c r="D116" s="60">
        <f>3.1349 * CHOOSE(CONTROL!$C$19, $C$13, 100%, $E$13)</f>
        <v>3.1349</v>
      </c>
      <c r="E116" s="61">
        <f>3.2692 * CHOOSE(CONTROL!$C$19, $C$13, 100%, $E$13)</f>
        <v>3.2692000000000001</v>
      </c>
      <c r="F116" s="61">
        <f>3.2692 * CHOOSE(CONTROL!$C$19, $C$13, 100%, $E$13)</f>
        <v>3.2692000000000001</v>
      </c>
      <c r="G116" s="61">
        <f>3.2694 * CHOOSE(CONTROL!$C$19, $C$13, 100%, $E$13)</f>
        <v>3.2694000000000001</v>
      </c>
      <c r="H116" s="61">
        <f>5.1276* CHOOSE(CONTROL!$C$19, $C$13, 100%, $E$13)</f>
        <v>5.1276000000000002</v>
      </c>
      <c r="I116" s="61">
        <f>5.1278 * CHOOSE(CONTROL!$C$19, $C$13, 100%, $E$13)</f>
        <v>5.1277999999999997</v>
      </c>
      <c r="J116" s="61">
        <f>3.2692 * CHOOSE(CONTROL!$C$19, $C$13, 100%, $E$13)</f>
        <v>3.2692000000000001</v>
      </c>
      <c r="K116" s="61">
        <f>3.2694 * CHOOSE(CONTROL!$C$19, $C$13, 100%, $E$13)</f>
        <v>3.2694000000000001</v>
      </c>
      <c r="L116" s="4"/>
      <c r="M116" s="4"/>
      <c r="N116" s="4"/>
    </row>
    <row r="117" spans="1:14" ht="15">
      <c r="A117" s="13">
        <v>45413</v>
      </c>
      <c r="B117" s="60">
        <f>3.1198 * CHOOSE(CONTROL!$C$19, $C$13, 100%, $E$13)</f>
        <v>3.1198000000000001</v>
      </c>
      <c r="C117" s="60">
        <f>3.1198 * CHOOSE(CONTROL!$C$19, $C$13, 100%, $E$13)</f>
        <v>3.1198000000000001</v>
      </c>
      <c r="D117" s="60">
        <f>3.1501 * CHOOSE(CONTROL!$C$19, $C$13, 100%, $E$13)</f>
        <v>3.1501000000000001</v>
      </c>
      <c r="E117" s="61">
        <f>3.2806 * CHOOSE(CONTROL!$C$19, $C$13, 100%, $E$13)</f>
        <v>3.2806000000000002</v>
      </c>
      <c r="F117" s="61">
        <f>3.2806 * CHOOSE(CONTROL!$C$19, $C$13, 100%, $E$13)</f>
        <v>3.2806000000000002</v>
      </c>
      <c r="G117" s="61">
        <f>3.2825 * CHOOSE(CONTROL!$C$19, $C$13, 100%, $E$13)</f>
        <v>3.2825000000000002</v>
      </c>
      <c r="H117" s="61">
        <f>5.1383* CHOOSE(CONTROL!$C$19, $C$13, 100%, $E$13)</f>
        <v>5.1383000000000001</v>
      </c>
      <c r="I117" s="61">
        <f>5.1402 * CHOOSE(CONTROL!$C$19, $C$13, 100%, $E$13)</f>
        <v>5.1402000000000001</v>
      </c>
      <c r="J117" s="61">
        <f>3.2806 * CHOOSE(CONTROL!$C$19, $C$13, 100%, $E$13)</f>
        <v>3.2806000000000002</v>
      </c>
      <c r="K117" s="61">
        <f>3.2825 * CHOOSE(CONTROL!$C$19, $C$13, 100%, $E$13)</f>
        <v>3.2825000000000002</v>
      </c>
      <c r="L117" s="4"/>
      <c r="M117" s="4"/>
      <c r="N117" s="4"/>
    </row>
    <row r="118" spans="1:14" ht="15">
      <c r="A118" s="13">
        <v>45444</v>
      </c>
      <c r="B118" s="60">
        <f>3.1258 * CHOOSE(CONTROL!$C$19, $C$13, 100%, $E$13)</f>
        <v>3.1257999999999999</v>
      </c>
      <c r="C118" s="60">
        <f>3.1258 * CHOOSE(CONTROL!$C$19, $C$13, 100%, $E$13)</f>
        <v>3.1257999999999999</v>
      </c>
      <c r="D118" s="60">
        <f>3.1562 * CHOOSE(CONTROL!$C$19, $C$13, 100%, $E$13)</f>
        <v>3.1562000000000001</v>
      </c>
      <c r="E118" s="61">
        <f>3.2735 * CHOOSE(CONTROL!$C$19, $C$13, 100%, $E$13)</f>
        <v>3.2734999999999999</v>
      </c>
      <c r="F118" s="61">
        <f>3.2735 * CHOOSE(CONTROL!$C$19, $C$13, 100%, $E$13)</f>
        <v>3.2734999999999999</v>
      </c>
      <c r="G118" s="61">
        <f>3.2754 * CHOOSE(CONTROL!$C$19, $C$13, 100%, $E$13)</f>
        <v>3.2753999999999999</v>
      </c>
      <c r="H118" s="61">
        <f>5.149* CHOOSE(CONTROL!$C$19, $C$13, 100%, $E$13)</f>
        <v>5.149</v>
      </c>
      <c r="I118" s="61">
        <f>5.1509 * CHOOSE(CONTROL!$C$19, $C$13, 100%, $E$13)</f>
        <v>5.1509</v>
      </c>
      <c r="J118" s="61">
        <f>3.2735 * CHOOSE(CONTROL!$C$19, $C$13, 100%, $E$13)</f>
        <v>3.2734999999999999</v>
      </c>
      <c r="K118" s="61">
        <f>3.2754 * CHOOSE(CONTROL!$C$19, $C$13, 100%, $E$13)</f>
        <v>3.2753999999999999</v>
      </c>
      <c r="L118" s="4"/>
      <c r="M118" s="4"/>
      <c r="N118" s="4"/>
    </row>
    <row r="119" spans="1:14" ht="15">
      <c r="A119" s="13">
        <v>45474</v>
      </c>
      <c r="B119" s="60">
        <f>3.1848 * CHOOSE(CONTROL!$C$19, $C$13, 100%, $E$13)</f>
        <v>3.1848000000000001</v>
      </c>
      <c r="C119" s="60">
        <f>3.1848 * CHOOSE(CONTROL!$C$19, $C$13, 100%, $E$13)</f>
        <v>3.1848000000000001</v>
      </c>
      <c r="D119" s="60">
        <f>3.2152 * CHOOSE(CONTROL!$C$19, $C$13, 100%, $E$13)</f>
        <v>3.2151999999999998</v>
      </c>
      <c r="E119" s="61">
        <f>3.3462 * CHOOSE(CONTROL!$C$19, $C$13, 100%, $E$13)</f>
        <v>3.3462000000000001</v>
      </c>
      <c r="F119" s="61">
        <f>3.3462 * CHOOSE(CONTROL!$C$19, $C$13, 100%, $E$13)</f>
        <v>3.3462000000000001</v>
      </c>
      <c r="G119" s="61">
        <f>3.3481 * CHOOSE(CONTROL!$C$19, $C$13, 100%, $E$13)</f>
        <v>3.3481000000000001</v>
      </c>
      <c r="H119" s="61">
        <f>5.1597* CHOOSE(CONTROL!$C$19, $C$13, 100%, $E$13)</f>
        <v>5.1597</v>
      </c>
      <c r="I119" s="61">
        <f>5.1616 * CHOOSE(CONTROL!$C$19, $C$13, 100%, $E$13)</f>
        <v>5.1616</v>
      </c>
      <c r="J119" s="61">
        <f>3.3462 * CHOOSE(CONTROL!$C$19, $C$13, 100%, $E$13)</f>
        <v>3.3462000000000001</v>
      </c>
      <c r="K119" s="61">
        <f>3.3481 * CHOOSE(CONTROL!$C$19, $C$13, 100%, $E$13)</f>
        <v>3.3481000000000001</v>
      </c>
      <c r="L119" s="4"/>
      <c r="M119" s="4"/>
      <c r="N119" s="4"/>
    </row>
    <row r="120" spans="1:14" ht="15">
      <c r="A120" s="13">
        <v>45505</v>
      </c>
      <c r="B120" s="60">
        <f>3.1915 * CHOOSE(CONTROL!$C$19, $C$13, 100%, $E$13)</f>
        <v>3.1915</v>
      </c>
      <c r="C120" s="60">
        <f>3.1915 * CHOOSE(CONTROL!$C$19, $C$13, 100%, $E$13)</f>
        <v>3.1915</v>
      </c>
      <c r="D120" s="60">
        <f>3.2219 * CHOOSE(CONTROL!$C$19, $C$13, 100%, $E$13)</f>
        <v>3.2219000000000002</v>
      </c>
      <c r="E120" s="61">
        <f>3.3167 * CHOOSE(CONTROL!$C$19, $C$13, 100%, $E$13)</f>
        <v>3.3167</v>
      </c>
      <c r="F120" s="61">
        <f>3.3167 * CHOOSE(CONTROL!$C$19, $C$13, 100%, $E$13)</f>
        <v>3.3167</v>
      </c>
      <c r="G120" s="61">
        <f>3.3186 * CHOOSE(CONTROL!$C$19, $C$13, 100%, $E$13)</f>
        <v>3.3186</v>
      </c>
      <c r="H120" s="61">
        <f>5.1705* CHOOSE(CONTROL!$C$19, $C$13, 100%, $E$13)</f>
        <v>5.1704999999999997</v>
      </c>
      <c r="I120" s="61">
        <f>5.1724 * CHOOSE(CONTROL!$C$19, $C$13, 100%, $E$13)</f>
        <v>5.1723999999999997</v>
      </c>
      <c r="J120" s="61">
        <f>3.3167 * CHOOSE(CONTROL!$C$19, $C$13, 100%, $E$13)</f>
        <v>3.3167</v>
      </c>
      <c r="K120" s="61">
        <f>3.3186 * CHOOSE(CONTROL!$C$19, $C$13, 100%, $E$13)</f>
        <v>3.3186</v>
      </c>
      <c r="L120" s="4"/>
      <c r="M120" s="4"/>
      <c r="N120" s="4"/>
    </row>
    <row r="121" spans="1:14" ht="15">
      <c r="A121" s="13">
        <v>45536</v>
      </c>
      <c r="B121" s="60">
        <f>3.1885 * CHOOSE(CONTROL!$C$19, $C$13, 100%, $E$13)</f>
        <v>3.1884999999999999</v>
      </c>
      <c r="C121" s="60">
        <f>3.1885 * CHOOSE(CONTROL!$C$19, $C$13, 100%, $E$13)</f>
        <v>3.1884999999999999</v>
      </c>
      <c r="D121" s="60">
        <f>3.2188 * CHOOSE(CONTROL!$C$19, $C$13, 100%, $E$13)</f>
        <v>3.2187999999999999</v>
      </c>
      <c r="E121" s="61">
        <f>3.3108 * CHOOSE(CONTROL!$C$19, $C$13, 100%, $E$13)</f>
        <v>3.3108</v>
      </c>
      <c r="F121" s="61">
        <f>3.3108 * CHOOSE(CONTROL!$C$19, $C$13, 100%, $E$13)</f>
        <v>3.3108</v>
      </c>
      <c r="G121" s="61">
        <f>3.3127 * CHOOSE(CONTROL!$C$19, $C$13, 100%, $E$13)</f>
        <v>3.3127</v>
      </c>
      <c r="H121" s="61">
        <f>5.1812* CHOOSE(CONTROL!$C$19, $C$13, 100%, $E$13)</f>
        <v>5.1811999999999996</v>
      </c>
      <c r="I121" s="61">
        <f>5.1831 * CHOOSE(CONTROL!$C$19, $C$13, 100%, $E$13)</f>
        <v>5.1830999999999996</v>
      </c>
      <c r="J121" s="61">
        <f>3.3108 * CHOOSE(CONTROL!$C$19, $C$13, 100%, $E$13)</f>
        <v>3.3108</v>
      </c>
      <c r="K121" s="61">
        <f>3.3127 * CHOOSE(CONTROL!$C$19, $C$13, 100%, $E$13)</f>
        <v>3.3127</v>
      </c>
      <c r="L121" s="4"/>
      <c r="M121" s="4"/>
      <c r="N121" s="4"/>
    </row>
    <row r="122" spans="1:14" ht="15">
      <c r="A122" s="13">
        <v>45566</v>
      </c>
      <c r="B122" s="60">
        <f>3.1807 * CHOOSE(CONTROL!$C$19, $C$13, 100%, $E$13)</f>
        <v>3.1806999999999999</v>
      </c>
      <c r="C122" s="60">
        <f>3.1807 * CHOOSE(CONTROL!$C$19, $C$13, 100%, $E$13)</f>
        <v>3.1806999999999999</v>
      </c>
      <c r="D122" s="60">
        <f>3.1958 * CHOOSE(CONTROL!$C$19, $C$13, 100%, $E$13)</f>
        <v>3.1958000000000002</v>
      </c>
      <c r="E122" s="61">
        <f>3.3126 * CHOOSE(CONTROL!$C$19, $C$13, 100%, $E$13)</f>
        <v>3.3126000000000002</v>
      </c>
      <c r="F122" s="61">
        <f>3.3126 * CHOOSE(CONTROL!$C$19, $C$13, 100%, $E$13)</f>
        <v>3.3126000000000002</v>
      </c>
      <c r="G122" s="61">
        <f>3.3127 * CHOOSE(CONTROL!$C$19, $C$13, 100%, $E$13)</f>
        <v>3.3127</v>
      </c>
      <c r="H122" s="61">
        <f>5.192* CHOOSE(CONTROL!$C$19, $C$13, 100%, $E$13)</f>
        <v>5.1920000000000002</v>
      </c>
      <c r="I122" s="61">
        <f>5.1922 * CHOOSE(CONTROL!$C$19, $C$13, 100%, $E$13)</f>
        <v>5.1921999999999997</v>
      </c>
      <c r="J122" s="61">
        <f>3.3126 * CHOOSE(CONTROL!$C$19, $C$13, 100%, $E$13)</f>
        <v>3.3126000000000002</v>
      </c>
      <c r="K122" s="61">
        <f>3.3127 * CHOOSE(CONTROL!$C$19, $C$13, 100%, $E$13)</f>
        <v>3.3127</v>
      </c>
      <c r="L122" s="4"/>
      <c r="M122" s="4"/>
      <c r="N122" s="4"/>
    </row>
    <row r="123" spans="1:14" ht="15">
      <c r="A123" s="13">
        <v>45597</v>
      </c>
      <c r="B123" s="60">
        <f>3.1837 * CHOOSE(CONTROL!$C$19, $C$13, 100%, $E$13)</f>
        <v>3.1837</v>
      </c>
      <c r="C123" s="60">
        <f>3.1837 * CHOOSE(CONTROL!$C$19, $C$13, 100%, $E$13)</f>
        <v>3.1837</v>
      </c>
      <c r="D123" s="60">
        <f>3.1989 * CHOOSE(CONTROL!$C$19, $C$13, 100%, $E$13)</f>
        <v>3.1989000000000001</v>
      </c>
      <c r="E123" s="61">
        <f>3.3223 * CHOOSE(CONTROL!$C$19, $C$13, 100%, $E$13)</f>
        <v>3.3222999999999998</v>
      </c>
      <c r="F123" s="61">
        <f>3.3223 * CHOOSE(CONTROL!$C$19, $C$13, 100%, $E$13)</f>
        <v>3.3222999999999998</v>
      </c>
      <c r="G123" s="61">
        <f>3.3224 * CHOOSE(CONTROL!$C$19, $C$13, 100%, $E$13)</f>
        <v>3.3224</v>
      </c>
      <c r="H123" s="61">
        <f>5.2028* CHOOSE(CONTROL!$C$19, $C$13, 100%, $E$13)</f>
        <v>5.2027999999999999</v>
      </c>
      <c r="I123" s="61">
        <f>5.203 * CHOOSE(CONTROL!$C$19, $C$13, 100%, $E$13)</f>
        <v>5.2030000000000003</v>
      </c>
      <c r="J123" s="61">
        <f>3.3223 * CHOOSE(CONTROL!$C$19, $C$13, 100%, $E$13)</f>
        <v>3.3222999999999998</v>
      </c>
      <c r="K123" s="61">
        <f>3.3224 * CHOOSE(CONTROL!$C$19, $C$13, 100%, $E$13)</f>
        <v>3.3224</v>
      </c>
      <c r="L123" s="4"/>
      <c r="M123" s="4"/>
      <c r="N123" s="4"/>
    </row>
    <row r="124" spans="1:14" ht="15">
      <c r="A124" s="13">
        <v>45627</v>
      </c>
      <c r="B124" s="60">
        <f>3.1837 * CHOOSE(CONTROL!$C$19, $C$13, 100%, $E$13)</f>
        <v>3.1837</v>
      </c>
      <c r="C124" s="60">
        <f>3.1837 * CHOOSE(CONTROL!$C$19, $C$13, 100%, $E$13)</f>
        <v>3.1837</v>
      </c>
      <c r="D124" s="60">
        <f>3.1989 * CHOOSE(CONTROL!$C$19, $C$13, 100%, $E$13)</f>
        <v>3.1989000000000001</v>
      </c>
      <c r="E124" s="61">
        <f>3.3033 * CHOOSE(CONTROL!$C$19, $C$13, 100%, $E$13)</f>
        <v>3.3033000000000001</v>
      </c>
      <c r="F124" s="61">
        <f>3.3033 * CHOOSE(CONTROL!$C$19, $C$13, 100%, $E$13)</f>
        <v>3.3033000000000001</v>
      </c>
      <c r="G124" s="61">
        <f>3.3035 * CHOOSE(CONTROL!$C$19, $C$13, 100%, $E$13)</f>
        <v>3.3035000000000001</v>
      </c>
      <c r="H124" s="61">
        <f>5.2137* CHOOSE(CONTROL!$C$19, $C$13, 100%, $E$13)</f>
        <v>5.2137000000000002</v>
      </c>
      <c r="I124" s="61">
        <f>5.2139 * CHOOSE(CONTROL!$C$19, $C$13, 100%, $E$13)</f>
        <v>5.2138999999999998</v>
      </c>
      <c r="J124" s="61">
        <f>3.3033 * CHOOSE(CONTROL!$C$19, $C$13, 100%, $E$13)</f>
        <v>3.3033000000000001</v>
      </c>
      <c r="K124" s="61">
        <f>3.3035 * CHOOSE(CONTROL!$C$19, $C$13, 100%, $E$13)</f>
        <v>3.3035000000000001</v>
      </c>
      <c r="L124" s="4"/>
      <c r="M124" s="4"/>
      <c r="N124" s="4"/>
    </row>
    <row r="125" spans="1:14" ht="15">
      <c r="A125" s="13">
        <v>45658</v>
      </c>
      <c r="B125" s="60">
        <f>3.21 * CHOOSE(CONTROL!$C$19, $C$13, 100%, $E$13)</f>
        <v>3.21</v>
      </c>
      <c r="C125" s="60">
        <f>3.21 * CHOOSE(CONTROL!$C$19, $C$13, 100%, $E$13)</f>
        <v>3.21</v>
      </c>
      <c r="D125" s="60">
        <f>3.2251 * CHOOSE(CONTROL!$C$19, $C$13, 100%, $E$13)</f>
        <v>3.2250999999999999</v>
      </c>
      <c r="E125" s="61">
        <f>3.3861 * CHOOSE(CONTROL!$C$19, $C$13, 100%, $E$13)</f>
        <v>3.3860999999999999</v>
      </c>
      <c r="F125" s="61">
        <f>3.3861 * CHOOSE(CONTROL!$C$19, $C$13, 100%, $E$13)</f>
        <v>3.3860999999999999</v>
      </c>
      <c r="G125" s="61">
        <f>3.3863 * CHOOSE(CONTROL!$C$19, $C$13, 100%, $E$13)</f>
        <v>3.3862999999999999</v>
      </c>
      <c r="H125" s="61">
        <f>5.2246* CHOOSE(CONTROL!$C$19, $C$13, 100%, $E$13)</f>
        <v>5.2245999999999997</v>
      </c>
      <c r="I125" s="61">
        <f>5.2247 * CHOOSE(CONTROL!$C$19, $C$13, 100%, $E$13)</f>
        <v>5.2247000000000003</v>
      </c>
      <c r="J125" s="61">
        <f>3.3861 * CHOOSE(CONTROL!$C$19, $C$13, 100%, $E$13)</f>
        <v>3.3860999999999999</v>
      </c>
      <c r="K125" s="61">
        <f>3.3863 * CHOOSE(CONTROL!$C$19, $C$13, 100%, $E$13)</f>
        <v>3.3862999999999999</v>
      </c>
      <c r="L125" s="4"/>
      <c r="M125" s="4"/>
      <c r="N125" s="4"/>
    </row>
    <row r="126" spans="1:14" ht="15">
      <c r="A126" s="13">
        <v>45689</v>
      </c>
      <c r="B126" s="60">
        <f>3.2069 * CHOOSE(CONTROL!$C$19, $C$13, 100%, $E$13)</f>
        <v>3.2069000000000001</v>
      </c>
      <c r="C126" s="60">
        <f>3.2069 * CHOOSE(CONTROL!$C$19, $C$13, 100%, $E$13)</f>
        <v>3.2069000000000001</v>
      </c>
      <c r="D126" s="60">
        <f>3.2221 * CHOOSE(CONTROL!$C$19, $C$13, 100%, $E$13)</f>
        <v>3.2221000000000002</v>
      </c>
      <c r="E126" s="61">
        <f>3.3429 * CHOOSE(CONTROL!$C$19, $C$13, 100%, $E$13)</f>
        <v>3.3429000000000002</v>
      </c>
      <c r="F126" s="61">
        <f>3.3429 * CHOOSE(CONTROL!$C$19, $C$13, 100%, $E$13)</f>
        <v>3.3429000000000002</v>
      </c>
      <c r="G126" s="61">
        <f>3.3431 * CHOOSE(CONTROL!$C$19, $C$13, 100%, $E$13)</f>
        <v>3.3431000000000002</v>
      </c>
      <c r="H126" s="61">
        <f>5.2354* CHOOSE(CONTROL!$C$19, $C$13, 100%, $E$13)</f>
        <v>5.2354000000000003</v>
      </c>
      <c r="I126" s="61">
        <f>5.2356 * CHOOSE(CONTROL!$C$19, $C$13, 100%, $E$13)</f>
        <v>5.2355999999999998</v>
      </c>
      <c r="J126" s="61">
        <f>3.3429 * CHOOSE(CONTROL!$C$19, $C$13, 100%, $E$13)</f>
        <v>3.3429000000000002</v>
      </c>
      <c r="K126" s="61">
        <f>3.3431 * CHOOSE(CONTROL!$C$19, $C$13, 100%, $E$13)</f>
        <v>3.3431000000000002</v>
      </c>
      <c r="L126" s="4"/>
      <c r="M126" s="4"/>
      <c r="N126" s="4"/>
    </row>
    <row r="127" spans="1:14" ht="15">
      <c r="A127" s="13">
        <v>45717</v>
      </c>
      <c r="B127" s="60">
        <f>3.2039 * CHOOSE(CONTROL!$C$19, $C$13, 100%, $E$13)</f>
        <v>3.2039</v>
      </c>
      <c r="C127" s="60">
        <f>3.2039 * CHOOSE(CONTROL!$C$19, $C$13, 100%, $E$13)</f>
        <v>3.2039</v>
      </c>
      <c r="D127" s="60">
        <f>3.2191 * CHOOSE(CONTROL!$C$19, $C$13, 100%, $E$13)</f>
        <v>3.2191000000000001</v>
      </c>
      <c r="E127" s="61">
        <f>3.3732 * CHOOSE(CONTROL!$C$19, $C$13, 100%, $E$13)</f>
        <v>3.3732000000000002</v>
      </c>
      <c r="F127" s="61">
        <f>3.3732 * CHOOSE(CONTROL!$C$19, $C$13, 100%, $E$13)</f>
        <v>3.3732000000000002</v>
      </c>
      <c r="G127" s="61">
        <f>3.3733 * CHOOSE(CONTROL!$C$19, $C$13, 100%, $E$13)</f>
        <v>3.3733</v>
      </c>
      <c r="H127" s="61">
        <f>5.2463* CHOOSE(CONTROL!$C$19, $C$13, 100%, $E$13)</f>
        <v>5.2462999999999997</v>
      </c>
      <c r="I127" s="61">
        <f>5.2465 * CHOOSE(CONTROL!$C$19, $C$13, 100%, $E$13)</f>
        <v>5.2465000000000002</v>
      </c>
      <c r="J127" s="61">
        <f>3.3732 * CHOOSE(CONTROL!$C$19, $C$13, 100%, $E$13)</f>
        <v>3.3732000000000002</v>
      </c>
      <c r="K127" s="61">
        <f>3.3733 * CHOOSE(CONTROL!$C$19, $C$13, 100%, $E$13)</f>
        <v>3.3733</v>
      </c>
      <c r="L127" s="4"/>
      <c r="M127" s="4"/>
      <c r="N127" s="4"/>
    </row>
    <row r="128" spans="1:14" ht="15">
      <c r="A128" s="13">
        <v>45748</v>
      </c>
      <c r="B128" s="60">
        <f>3.2008 * CHOOSE(CONTROL!$C$19, $C$13, 100%, $E$13)</f>
        <v>3.2008000000000001</v>
      </c>
      <c r="C128" s="60">
        <f>3.2008 * CHOOSE(CONTROL!$C$19, $C$13, 100%, $E$13)</f>
        <v>3.2008000000000001</v>
      </c>
      <c r="D128" s="60">
        <f>3.216 * CHOOSE(CONTROL!$C$19, $C$13, 100%, $E$13)</f>
        <v>3.2160000000000002</v>
      </c>
      <c r="E128" s="61">
        <f>3.4037 * CHOOSE(CONTROL!$C$19, $C$13, 100%, $E$13)</f>
        <v>3.4037000000000002</v>
      </c>
      <c r="F128" s="61">
        <f>3.4037 * CHOOSE(CONTROL!$C$19, $C$13, 100%, $E$13)</f>
        <v>3.4037000000000002</v>
      </c>
      <c r="G128" s="61">
        <f>3.4039 * CHOOSE(CONTROL!$C$19, $C$13, 100%, $E$13)</f>
        <v>3.4039000000000001</v>
      </c>
      <c r="H128" s="61">
        <f>5.2573* CHOOSE(CONTROL!$C$19, $C$13, 100%, $E$13)</f>
        <v>5.2572999999999999</v>
      </c>
      <c r="I128" s="61">
        <f>5.2574 * CHOOSE(CONTROL!$C$19, $C$13, 100%, $E$13)</f>
        <v>5.2573999999999996</v>
      </c>
      <c r="J128" s="61">
        <f>3.4037 * CHOOSE(CONTROL!$C$19, $C$13, 100%, $E$13)</f>
        <v>3.4037000000000002</v>
      </c>
      <c r="K128" s="61">
        <f>3.4039 * CHOOSE(CONTROL!$C$19, $C$13, 100%, $E$13)</f>
        <v>3.4039000000000001</v>
      </c>
      <c r="L128" s="4"/>
      <c r="M128" s="4"/>
      <c r="N128" s="4"/>
    </row>
    <row r="129" spans="1:14" ht="15">
      <c r="A129" s="13">
        <v>45778</v>
      </c>
      <c r="B129" s="60">
        <f>3.2008 * CHOOSE(CONTROL!$C$19, $C$13, 100%, $E$13)</f>
        <v>3.2008000000000001</v>
      </c>
      <c r="C129" s="60">
        <f>3.2008 * CHOOSE(CONTROL!$C$19, $C$13, 100%, $E$13)</f>
        <v>3.2008000000000001</v>
      </c>
      <c r="D129" s="60">
        <f>3.2312 * CHOOSE(CONTROL!$C$19, $C$13, 100%, $E$13)</f>
        <v>3.2311999999999999</v>
      </c>
      <c r="E129" s="61">
        <f>3.4168 * CHOOSE(CONTROL!$C$19, $C$13, 100%, $E$13)</f>
        <v>3.4167999999999998</v>
      </c>
      <c r="F129" s="61">
        <f>3.4168 * CHOOSE(CONTROL!$C$19, $C$13, 100%, $E$13)</f>
        <v>3.4167999999999998</v>
      </c>
      <c r="G129" s="61">
        <f>3.4187 * CHOOSE(CONTROL!$C$19, $C$13, 100%, $E$13)</f>
        <v>3.4186999999999999</v>
      </c>
      <c r="H129" s="61">
        <f>5.2682* CHOOSE(CONTROL!$C$19, $C$13, 100%, $E$13)</f>
        <v>5.2682000000000002</v>
      </c>
      <c r="I129" s="61">
        <f>5.2701 * CHOOSE(CONTROL!$C$19, $C$13, 100%, $E$13)</f>
        <v>5.2701000000000002</v>
      </c>
      <c r="J129" s="61">
        <f>3.4168 * CHOOSE(CONTROL!$C$19, $C$13, 100%, $E$13)</f>
        <v>3.4167999999999998</v>
      </c>
      <c r="K129" s="61">
        <f>3.4187 * CHOOSE(CONTROL!$C$19, $C$13, 100%, $E$13)</f>
        <v>3.4186999999999999</v>
      </c>
      <c r="L129" s="4"/>
      <c r="M129" s="4"/>
      <c r="N129" s="4"/>
    </row>
    <row r="130" spans="1:14" ht="15">
      <c r="A130" s="13">
        <v>45809</v>
      </c>
      <c r="B130" s="60">
        <f>3.2069 * CHOOSE(CONTROL!$C$19, $C$13, 100%, $E$13)</f>
        <v>3.2069000000000001</v>
      </c>
      <c r="C130" s="60">
        <f>3.2069 * CHOOSE(CONTROL!$C$19, $C$13, 100%, $E$13)</f>
        <v>3.2069000000000001</v>
      </c>
      <c r="D130" s="60">
        <f>3.2372 * CHOOSE(CONTROL!$C$19, $C$13, 100%, $E$13)</f>
        <v>3.2372000000000001</v>
      </c>
      <c r="E130" s="61">
        <f>3.408 * CHOOSE(CONTROL!$C$19, $C$13, 100%, $E$13)</f>
        <v>3.4079999999999999</v>
      </c>
      <c r="F130" s="61">
        <f>3.408 * CHOOSE(CONTROL!$C$19, $C$13, 100%, $E$13)</f>
        <v>3.4079999999999999</v>
      </c>
      <c r="G130" s="61">
        <f>3.4099 * CHOOSE(CONTROL!$C$19, $C$13, 100%, $E$13)</f>
        <v>3.4098999999999999</v>
      </c>
      <c r="H130" s="61">
        <f>5.2792* CHOOSE(CONTROL!$C$19, $C$13, 100%, $E$13)</f>
        <v>5.2792000000000003</v>
      </c>
      <c r="I130" s="61">
        <f>5.2811 * CHOOSE(CONTROL!$C$19, $C$13, 100%, $E$13)</f>
        <v>5.2811000000000003</v>
      </c>
      <c r="J130" s="61">
        <f>3.408 * CHOOSE(CONTROL!$C$19, $C$13, 100%, $E$13)</f>
        <v>3.4079999999999999</v>
      </c>
      <c r="K130" s="61">
        <f>3.4099 * CHOOSE(CONTROL!$C$19, $C$13, 100%, $E$13)</f>
        <v>3.4098999999999999</v>
      </c>
      <c r="L130" s="4"/>
      <c r="M130" s="4"/>
      <c r="N130" s="4"/>
    </row>
    <row r="131" spans="1:14" ht="15">
      <c r="A131" s="13">
        <v>45839</v>
      </c>
      <c r="B131" s="60">
        <f>3.2555 * CHOOSE(CONTROL!$C$19, $C$13, 100%, $E$13)</f>
        <v>3.2555000000000001</v>
      </c>
      <c r="C131" s="60">
        <f>3.2555 * CHOOSE(CONTROL!$C$19, $C$13, 100%, $E$13)</f>
        <v>3.2555000000000001</v>
      </c>
      <c r="D131" s="60">
        <f>3.2859 * CHOOSE(CONTROL!$C$19, $C$13, 100%, $E$13)</f>
        <v>3.2858999999999998</v>
      </c>
      <c r="E131" s="61">
        <f>3.4617 * CHOOSE(CONTROL!$C$19, $C$13, 100%, $E$13)</f>
        <v>3.4617</v>
      </c>
      <c r="F131" s="61">
        <f>3.4617 * CHOOSE(CONTROL!$C$19, $C$13, 100%, $E$13)</f>
        <v>3.4617</v>
      </c>
      <c r="G131" s="61">
        <f>3.4636 * CHOOSE(CONTROL!$C$19, $C$13, 100%, $E$13)</f>
        <v>3.4636</v>
      </c>
      <c r="H131" s="61">
        <f>5.2902* CHOOSE(CONTROL!$C$19, $C$13, 100%, $E$13)</f>
        <v>5.2901999999999996</v>
      </c>
      <c r="I131" s="61">
        <f>5.2921 * CHOOSE(CONTROL!$C$19, $C$13, 100%, $E$13)</f>
        <v>5.2920999999999996</v>
      </c>
      <c r="J131" s="61">
        <f>3.4617 * CHOOSE(CONTROL!$C$19, $C$13, 100%, $E$13)</f>
        <v>3.4617</v>
      </c>
      <c r="K131" s="61">
        <f>3.4636 * CHOOSE(CONTROL!$C$19, $C$13, 100%, $E$13)</f>
        <v>3.4636</v>
      </c>
      <c r="L131" s="4"/>
      <c r="M131" s="4"/>
      <c r="N131" s="4"/>
    </row>
    <row r="132" spans="1:14" ht="15">
      <c r="A132" s="13">
        <v>45870</v>
      </c>
      <c r="B132" s="60">
        <f>3.2622 * CHOOSE(CONTROL!$C$19, $C$13, 100%, $E$13)</f>
        <v>3.2622</v>
      </c>
      <c r="C132" s="60">
        <f>3.2622 * CHOOSE(CONTROL!$C$19, $C$13, 100%, $E$13)</f>
        <v>3.2622</v>
      </c>
      <c r="D132" s="60">
        <f>3.2926 * CHOOSE(CONTROL!$C$19, $C$13, 100%, $E$13)</f>
        <v>3.2926000000000002</v>
      </c>
      <c r="E132" s="61">
        <f>3.4272 * CHOOSE(CONTROL!$C$19, $C$13, 100%, $E$13)</f>
        <v>3.4272</v>
      </c>
      <c r="F132" s="61">
        <f>3.4272 * CHOOSE(CONTROL!$C$19, $C$13, 100%, $E$13)</f>
        <v>3.4272</v>
      </c>
      <c r="G132" s="61">
        <f>3.4291 * CHOOSE(CONTROL!$C$19, $C$13, 100%, $E$13)</f>
        <v>3.4291</v>
      </c>
      <c r="H132" s="61">
        <f>5.3012* CHOOSE(CONTROL!$C$19, $C$13, 100%, $E$13)</f>
        <v>5.3011999999999997</v>
      </c>
      <c r="I132" s="61">
        <f>5.3031 * CHOOSE(CONTROL!$C$19, $C$13, 100%, $E$13)</f>
        <v>5.3030999999999997</v>
      </c>
      <c r="J132" s="61">
        <f>3.4272 * CHOOSE(CONTROL!$C$19, $C$13, 100%, $E$13)</f>
        <v>3.4272</v>
      </c>
      <c r="K132" s="61">
        <f>3.4291 * CHOOSE(CONTROL!$C$19, $C$13, 100%, $E$13)</f>
        <v>3.4291</v>
      </c>
      <c r="L132" s="4"/>
      <c r="M132" s="4"/>
      <c r="N132" s="4"/>
    </row>
    <row r="133" spans="1:14" ht="15">
      <c r="A133" s="13">
        <v>45901</v>
      </c>
      <c r="B133" s="60">
        <f>3.2592 * CHOOSE(CONTROL!$C$19, $C$13, 100%, $E$13)</f>
        <v>3.2591999999999999</v>
      </c>
      <c r="C133" s="60">
        <f>3.2592 * CHOOSE(CONTROL!$C$19, $C$13, 100%, $E$13)</f>
        <v>3.2591999999999999</v>
      </c>
      <c r="D133" s="60">
        <f>3.2895 * CHOOSE(CONTROL!$C$19, $C$13, 100%, $E$13)</f>
        <v>3.2894999999999999</v>
      </c>
      <c r="E133" s="61">
        <f>3.4207 * CHOOSE(CONTROL!$C$19, $C$13, 100%, $E$13)</f>
        <v>3.4207000000000001</v>
      </c>
      <c r="F133" s="61">
        <f>3.4207 * CHOOSE(CONTROL!$C$19, $C$13, 100%, $E$13)</f>
        <v>3.4207000000000001</v>
      </c>
      <c r="G133" s="61">
        <f>3.4226 * CHOOSE(CONTROL!$C$19, $C$13, 100%, $E$13)</f>
        <v>3.4226000000000001</v>
      </c>
      <c r="H133" s="61">
        <f>5.3123* CHOOSE(CONTROL!$C$19, $C$13, 100%, $E$13)</f>
        <v>5.3122999999999996</v>
      </c>
      <c r="I133" s="61">
        <f>5.3142 * CHOOSE(CONTROL!$C$19, $C$13, 100%, $E$13)</f>
        <v>5.3141999999999996</v>
      </c>
      <c r="J133" s="61">
        <f>3.4207 * CHOOSE(CONTROL!$C$19, $C$13, 100%, $E$13)</f>
        <v>3.4207000000000001</v>
      </c>
      <c r="K133" s="61">
        <f>3.4226 * CHOOSE(CONTROL!$C$19, $C$13, 100%, $E$13)</f>
        <v>3.4226000000000001</v>
      </c>
      <c r="L133" s="4"/>
      <c r="M133" s="4"/>
      <c r="N133" s="4"/>
    </row>
    <row r="134" spans="1:14" ht="15">
      <c r="A134" s="13">
        <v>45931</v>
      </c>
      <c r="B134" s="60">
        <f>3.2516 * CHOOSE(CONTROL!$C$19, $C$13, 100%, $E$13)</f>
        <v>3.2515999999999998</v>
      </c>
      <c r="C134" s="60">
        <f>3.2516 * CHOOSE(CONTROL!$C$19, $C$13, 100%, $E$13)</f>
        <v>3.2515999999999998</v>
      </c>
      <c r="D134" s="60">
        <f>3.2668 * CHOOSE(CONTROL!$C$19, $C$13, 100%, $E$13)</f>
        <v>3.2667999999999999</v>
      </c>
      <c r="E134" s="61">
        <f>3.4247 * CHOOSE(CONTROL!$C$19, $C$13, 100%, $E$13)</f>
        <v>3.4247000000000001</v>
      </c>
      <c r="F134" s="61">
        <f>3.4247 * CHOOSE(CONTROL!$C$19, $C$13, 100%, $E$13)</f>
        <v>3.4247000000000001</v>
      </c>
      <c r="G134" s="61">
        <f>3.4249 * CHOOSE(CONTROL!$C$19, $C$13, 100%, $E$13)</f>
        <v>3.4249000000000001</v>
      </c>
      <c r="H134" s="61">
        <f>5.3233* CHOOSE(CONTROL!$C$19, $C$13, 100%, $E$13)</f>
        <v>5.3232999999999997</v>
      </c>
      <c r="I134" s="61">
        <f>5.3235 * CHOOSE(CONTROL!$C$19, $C$13, 100%, $E$13)</f>
        <v>5.3235000000000001</v>
      </c>
      <c r="J134" s="61">
        <f>3.4247 * CHOOSE(CONTROL!$C$19, $C$13, 100%, $E$13)</f>
        <v>3.4247000000000001</v>
      </c>
      <c r="K134" s="61">
        <f>3.4249 * CHOOSE(CONTROL!$C$19, $C$13, 100%, $E$13)</f>
        <v>3.4249000000000001</v>
      </c>
      <c r="L134" s="4"/>
      <c r="M134" s="4"/>
      <c r="N134" s="4"/>
    </row>
    <row r="135" spans="1:14" ht="15">
      <c r="A135" s="13">
        <v>45962</v>
      </c>
      <c r="B135" s="60">
        <f>3.2547 * CHOOSE(CONTROL!$C$19, $C$13, 100%, $E$13)</f>
        <v>3.2547000000000001</v>
      </c>
      <c r="C135" s="60">
        <f>3.2547 * CHOOSE(CONTROL!$C$19, $C$13, 100%, $E$13)</f>
        <v>3.2547000000000001</v>
      </c>
      <c r="D135" s="60">
        <f>3.2698 * CHOOSE(CONTROL!$C$19, $C$13, 100%, $E$13)</f>
        <v>3.2698</v>
      </c>
      <c r="E135" s="61">
        <f>3.4355 * CHOOSE(CONTROL!$C$19, $C$13, 100%, $E$13)</f>
        <v>3.4355000000000002</v>
      </c>
      <c r="F135" s="61">
        <f>3.4355 * CHOOSE(CONTROL!$C$19, $C$13, 100%, $E$13)</f>
        <v>3.4355000000000002</v>
      </c>
      <c r="G135" s="61">
        <f>3.4357 * CHOOSE(CONTROL!$C$19, $C$13, 100%, $E$13)</f>
        <v>3.4357000000000002</v>
      </c>
      <c r="H135" s="61">
        <f>5.3344* CHOOSE(CONTROL!$C$19, $C$13, 100%, $E$13)</f>
        <v>5.3343999999999996</v>
      </c>
      <c r="I135" s="61">
        <f>5.3346 * CHOOSE(CONTROL!$C$19, $C$13, 100%, $E$13)</f>
        <v>5.3346</v>
      </c>
      <c r="J135" s="61">
        <f>3.4355 * CHOOSE(CONTROL!$C$19, $C$13, 100%, $E$13)</f>
        <v>3.4355000000000002</v>
      </c>
      <c r="K135" s="61">
        <f>3.4357 * CHOOSE(CONTROL!$C$19, $C$13, 100%, $E$13)</f>
        <v>3.4357000000000002</v>
      </c>
    </row>
    <row r="136" spans="1:14" ht="15">
      <c r="A136" s="13">
        <v>45992</v>
      </c>
      <c r="B136" s="60">
        <f>3.2547 * CHOOSE(CONTROL!$C$19, $C$13, 100%, $E$13)</f>
        <v>3.2547000000000001</v>
      </c>
      <c r="C136" s="60">
        <f>3.2547 * CHOOSE(CONTROL!$C$19, $C$13, 100%, $E$13)</f>
        <v>3.2547000000000001</v>
      </c>
      <c r="D136" s="60">
        <f>3.2698 * CHOOSE(CONTROL!$C$19, $C$13, 100%, $E$13)</f>
        <v>3.2698</v>
      </c>
      <c r="E136" s="61">
        <f>3.4138 * CHOOSE(CONTROL!$C$19, $C$13, 100%, $E$13)</f>
        <v>3.4138000000000002</v>
      </c>
      <c r="F136" s="61">
        <f>3.4138 * CHOOSE(CONTROL!$C$19, $C$13, 100%, $E$13)</f>
        <v>3.4138000000000002</v>
      </c>
      <c r="G136" s="61">
        <f>3.414 * CHOOSE(CONTROL!$C$19, $C$13, 100%, $E$13)</f>
        <v>3.4140000000000001</v>
      </c>
      <c r="H136" s="61">
        <f>5.3455* CHOOSE(CONTROL!$C$19, $C$13, 100%, $E$13)</f>
        <v>5.3455000000000004</v>
      </c>
      <c r="I136" s="61">
        <f>5.3457 * CHOOSE(CONTROL!$C$19, $C$13, 100%, $E$13)</f>
        <v>5.3456999999999999</v>
      </c>
      <c r="J136" s="61">
        <f>3.4138 * CHOOSE(CONTROL!$C$19, $C$13, 100%, $E$13)</f>
        <v>3.4138000000000002</v>
      </c>
      <c r="K136" s="61">
        <f>3.414 * CHOOSE(CONTROL!$C$19, $C$13, 100%, $E$13)</f>
        <v>3.4140000000000001</v>
      </c>
    </row>
    <row r="137" spans="1:14" ht="15">
      <c r="A137" s="13">
        <v>46023</v>
      </c>
      <c r="B137" s="60">
        <f>3.2844 * CHOOSE(CONTROL!$C$19, $C$13, 100%, $E$13)</f>
        <v>3.2844000000000002</v>
      </c>
      <c r="C137" s="60">
        <f>3.2844 * CHOOSE(CONTROL!$C$19, $C$13, 100%, $E$13)</f>
        <v>3.2844000000000002</v>
      </c>
      <c r="D137" s="60">
        <f>3.2996 * CHOOSE(CONTROL!$C$19, $C$13, 100%, $E$13)</f>
        <v>3.2995999999999999</v>
      </c>
      <c r="E137" s="61">
        <f>3.4905 * CHOOSE(CONTROL!$C$19, $C$13, 100%, $E$13)</f>
        <v>3.4904999999999999</v>
      </c>
      <c r="F137" s="61">
        <f>3.4905 * CHOOSE(CONTROL!$C$19, $C$13, 100%, $E$13)</f>
        <v>3.4904999999999999</v>
      </c>
      <c r="G137" s="61">
        <f>3.4907 * CHOOSE(CONTROL!$C$19, $C$13, 100%, $E$13)</f>
        <v>3.4906999999999999</v>
      </c>
      <c r="H137" s="61">
        <f>5.3567* CHOOSE(CONTROL!$C$19, $C$13, 100%, $E$13)</f>
        <v>5.3567</v>
      </c>
      <c r="I137" s="61">
        <f>5.3568 * CHOOSE(CONTROL!$C$19, $C$13, 100%, $E$13)</f>
        <v>5.3567999999999998</v>
      </c>
      <c r="J137" s="61">
        <f>3.4905 * CHOOSE(CONTROL!$C$19, $C$13, 100%, $E$13)</f>
        <v>3.4904999999999999</v>
      </c>
      <c r="K137" s="61">
        <f>3.4907 * CHOOSE(CONTROL!$C$19, $C$13, 100%, $E$13)</f>
        <v>3.4906999999999999</v>
      </c>
    </row>
    <row r="138" spans="1:14" ht="15">
      <c r="A138" s="13">
        <v>46054</v>
      </c>
      <c r="B138" s="60">
        <f>3.2813 * CHOOSE(CONTROL!$C$19, $C$13, 100%, $E$13)</f>
        <v>3.2812999999999999</v>
      </c>
      <c r="C138" s="60">
        <f>3.2813 * CHOOSE(CONTROL!$C$19, $C$13, 100%, $E$13)</f>
        <v>3.2812999999999999</v>
      </c>
      <c r="D138" s="60">
        <f>3.2965 * CHOOSE(CONTROL!$C$19, $C$13, 100%, $E$13)</f>
        <v>3.2965</v>
      </c>
      <c r="E138" s="61">
        <f>3.4432 * CHOOSE(CONTROL!$C$19, $C$13, 100%, $E$13)</f>
        <v>3.4432</v>
      </c>
      <c r="F138" s="61">
        <f>3.4432 * CHOOSE(CONTROL!$C$19, $C$13, 100%, $E$13)</f>
        <v>3.4432</v>
      </c>
      <c r="G138" s="61">
        <f>3.4433 * CHOOSE(CONTROL!$C$19, $C$13, 100%, $E$13)</f>
        <v>3.4432999999999998</v>
      </c>
      <c r="H138" s="61">
        <f>5.3678* CHOOSE(CONTROL!$C$19, $C$13, 100%, $E$13)</f>
        <v>5.3677999999999999</v>
      </c>
      <c r="I138" s="61">
        <f>5.368 * CHOOSE(CONTROL!$C$19, $C$13, 100%, $E$13)</f>
        <v>5.3680000000000003</v>
      </c>
      <c r="J138" s="61">
        <f>3.4432 * CHOOSE(CONTROL!$C$19, $C$13, 100%, $E$13)</f>
        <v>3.4432</v>
      </c>
      <c r="K138" s="61">
        <f>3.4433 * CHOOSE(CONTROL!$C$19, $C$13, 100%, $E$13)</f>
        <v>3.4432999999999998</v>
      </c>
    </row>
    <row r="139" spans="1:14" ht="15">
      <c r="A139" s="13">
        <v>46082</v>
      </c>
      <c r="B139" s="60">
        <f>3.2783 * CHOOSE(CONTROL!$C$19, $C$13, 100%, $E$13)</f>
        <v>3.2783000000000002</v>
      </c>
      <c r="C139" s="60">
        <f>3.2783 * CHOOSE(CONTROL!$C$19, $C$13, 100%, $E$13)</f>
        <v>3.2783000000000002</v>
      </c>
      <c r="D139" s="60">
        <f>3.2935 * CHOOSE(CONTROL!$C$19, $C$13, 100%, $E$13)</f>
        <v>3.2934999999999999</v>
      </c>
      <c r="E139" s="61">
        <f>3.4767 * CHOOSE(CONTROL!$C$19, $C$13, 100%, $E$13)</f>
        <v>3.4767000000000001</v>
      </c>
      <c r="F139" s="61">
        <f>3.4767 * CHOOSE(CONTROL!$C$19, $C$13, 100%, $E$13)</f>
        <v>3.4767000000000001</v>
      </c>
      <c r="G139" s="61">
        <f>3.4769 * CHOOSE(CONTROL!$C$19, $C$13, 100%, $E$13)</f>
        <v>3.4769000000000001</v>
      </c>
      <c r="H139" s="61">
        <f>5.379* CHOOSE(CONTROL!$C$19, $C$13, 100%, $E$13)</f>
        <v>5.3789999999999996</v>
      </c>
      <c r="I139" s="61">
        <f>5.3792 * CHOOSE(CONTROL!$C$19, $C$13, 100%, $E$13)</f>
        <v>5.3792</v>
      </c>
      <c r="J139" s="61">
        <f>3.4767 * CHOOSE(CONTROL!$C$19, $C$13, 100%, $E$13)</f>
        <v>3.4767000000000001</v>
      </c>
      <c r="K139" s="61">
        <f>3.4769 * CHOOSE(CONTROL!$C$19, $C$13, 100%, $E$13)</f>
        <v>3.4769000000000001</v>
      </c>
    </row>
    <row r="140" spans="1:14" ht="15">
      <c r="A140" s="13">
        <v>46113</v>
      </c>
      <c r="B140" s="60">
        <f>3.2753 * CHOOSE(CONTROL!$C$19, $C$13, 100%, $E$13)</f>
        <v>3.2753000000000001</v>
      </c>
      <c r="C140" s="60">
        <f>3.2753 * CHOOSE(CONTROL!$C$19, $C$13, 100%, $E$13)</f>
        <v>3.2753000000000001</v>
      </c>
      <c r="D140" s="60">
        <f>3.2905 * CHOOSE(CONTROL!$C$19, $C$13, 100%, $E$13)</f>
        <v>3.2905000000000002</v>
      </c>
      <c r="E140" s="61">
        <f>3.5108 * CHOOSE(CONTROL!$C$19, $C$13, 100%, $E$13)</f>
        <v>3.5108000000000001</v>
      </c>
      <c r="F140" s="61">
        <f>3.5108 * CHOOSE(CONTROL!$C$19, $C$13, 100%, $E$13)</f>
        <v>3.5108000000000001</v>
      </c>
      <c r="G140" s="61">
        <f>3.511 * CHOOSE(CONTROL!$C$19, $C$13, 100%, $E$13)</f>
        <v>3.5110000000000001</v>
      </c>
      <c r="H140" s="61">
        <f>5.3902* CHOOSE(CONTROL!$C$19, $C$13, 100%, $E$13)</f>
        <v>5.3902000000000001</v>
      </c>
      <c r="I140" s="61">
        <f>5.3904 * CHOOSE(CONTROL!$C$19, $C$13, 100%, $E$13)</f>
        <v>5.3903999999999996</v>
      </c>
      <c r="J140" s="61">
        <f>3.5108 * CHOOSE(CONTROL!$C$19, $C$13, 100%, $E$13)</f>
        <v>3.5108000000000001</v>
      </c>
      <c r="K140" s="61">
        <f>3.511 * CHOOSE(CONTROL!$C$19, $C$13, 100%, $E$13)</f>
        <v>3.5110000000000001</v>
      </c>
    </row>
    <row r="141" spans="1:14" ht="15">
      <c r="A141" s="13">
        <v>46143</v>
      </c>
      <c r="B141" s="60">
        <f>3.2753 * CHOOSE(CONTROL!$C$19, $C$13, 100%, $E$13)</f>
        <v>3.2753000000000001</v>
      </c>
      <c r="C141" s="60">
        <f>3.2753 * CHOOSE(CONTROL!$C$19, $C$13, 100%, $E$13)</f>
        <v>3.2753000000000001</v>
      </c>
      <c r="D141" s="60">
        <f>3.3057 * CHOOSE(CONTROL!$C$19, $C$13, 100%, $E$13)</f>
        <v>3.3056999999999999</v>
      </c>
      <c r="E141" s="61">
        <f>3.5252 * CHOOSE(CONTROL!$C$19, $C$13, 100%, $E$13)</f>
        <v>3.5251999999999999</v>
      </c>
      <c r="F141" s="61">
        <f>3.5252 * CHOOSE(CONTROL!$C$19, $C$13, 100%, $E$13)</f>
        <v>3.5251999999999999</v>
      </c>
      <c r="G141" s="61">
        <f>3.5271 * CHOOSE(CONTROL!$C$19, $C$13, 100%, $E$13)</f>
        <v>3.5270999999999999</v>
      </c>
      <c r="H141" s="61">
        <f>5.4015* CHOOSE(CONTROL!$C$19, $C$13, 100%, $E$13)</f>
        <v>5.4015000000000004</v>
      </c>
      <c r="I141" s="61">
        <f>5.4034 * CHOOSE(CONTROL!$C$19, $C$13, 100%, $E$13)</f>
        <v>5.4034000000000004</v>
      </c>
      <c r="J141" s="61">
        <f>3.5252 * CHOOSE(CONTROL!$C$19, $C$13, 100%, $E$13)</f>
        <v>3.5251999999999999</v>
      </c>
      <c r="K141" s="61">
        <f>3.5271 * CHOOSE(CONTROL!$C$19, $C$13, 100%, $E$13)</f>
        <v>3.5270999999999999</v>
      </c>
    </row>
    <row r="142" spans="1:14" ht="15">
      <c r="A142" s="13">
        <v>46174</v>
      </c>
      <c r="B142" s="60">
        <f>3.2814 * CHOOSE(CONTROL!$C$19, $C$13, 100%, $E$13)</f>
        <v>3.2814000000000001</v>
      </c>
      <c r="C142" s="60">
        <f>3.2814 * CHOOSE(CONTROL!$C$19, $C$13, 100%, $E$13)</f>
        <v>3.2814000000000001</v>
      </c>
      <c r="D142" s="60">
        <f>3.3117 * CHOOSE(CONTROL!$C$19, $C$13, 100%, $E$13)</f>
        <v>3.3117000000000001</v>
      </c>
      <c r="E142" s="61">
        <f>3.515 * CHOOSE(CONTROL!$C$19, $C$13, 100%, $E$13)</f>
        <v>3.5150000000000001</v>
      </c>
      <c r="F142" s="61">
        <f>3.515 * CHOOSE(CONTROL!$C$19, $C$13, 100%, $E$13)</f>
        <v>3.5150000000000001</v>
      </c>
      <c r="G142" s="61">
        <f>3.5169 * CHOOSE(CONTROL!$C$19, $C$13, 100%, $E$13)</f>
        <v>3.5169000000000001</v>
      </c>
      <c r="H142" s="61">
        <f>5.4127* CHOOSE(CONTROL!$C$19, $C$13, 100%, $E$13)</f>
        <v>5.4127000000000001</v>
      </c>
      <c r="I142" s="61">
        <f>5.4146 * CHOOSE(CONTROL!$C$19, $C$13, 100%, $E$13)</f>
        <v>5.4146000000000001</v>
      </c>
      <c r="J142" s="61">
        <f>3.515 * CHOOSE(CONTROL!$C$19, $C$13, 100%, $E$13)</f>
        <v>3.5150000000000001</v>
      </c>
      <c r="K142" s="61">
        <f>3.5169 * CHOOSE(CONTROL!$C$19, $C$13, 100%, $E$13)</f>
        <v>3.5169000000000001</v>
      </c>
    </row>
    <row r="143" spans="1:14" ht="15">
      <c r="A143" s="13">
        <v>46204</v>
      </c>
      <c r="B143" s="60">
        <f>3.3377 * CHOOSE(CONTROL!$C$19, $C$13, 100%, $E$13)</f>
        <v>3.3376999999999999</v>
      </c>
      <c r="C143" s="60">
        <f>3.3377 * CHOOSE(CONTROL!$C$19, $C$13, 100%, $E$13)</f>
        <v>3.3376999999999999</v>
      </c>
      <c r="D143" s="60">
        <f>3.3681 * CHOOSE(CONTROL!$C$19, $C$13, 100%, $E$13)</f>
        <v>3.3681000000000001</v>
      </c>
      <c r="E143" s="61">
        <f>3.5814 * CHOOSE(CONTROL!$C$19, $C$13, 100%, $E$13)</f>
        <v>3.5813999999999999</v>
      </c>
      <c r="F143" s="61">
        <f>3.5814 * CHOOSE(CONTROL!$C$19, $C$13, 100%, $E$13)</f>
        <v>3.5813999999999999</v>
      </c>
      <c r="G143" s="61">
        <f>3.5833 * CHOOSE(CONTROL!$C$19, $C$13, 100%, $E$13)</f>
        <v>3.5832999999999999</v>
      </c>
      <c r="H143" s="61">
        <f>5.424* CHOOSE(CONTROL!$C$19, $C$13, 100%, $E$13)</f>
        <v>5.4240000000000004</v>
      </c>
      <c r="I143" s="61">
        <f>5.4259 * CHOOSE(CONTROL!$C$19, $C$13, 100%, $E$13)</f>
        <v>5.4259000000000004</v>
      </c>
      <c r="J143" s="61">
        <f>3.5814 * CHOOSE(CONTROL!$C$19, $C$13, 100%, $E$13)</f>
        <v>3.5813999999999999</v>
      </c>
      <c r="K143" s="61">
        <f>3.5833 * CHOOSE(CONTROL!$C$19, $C$13, 100%, $E$13)</f>
        <v>3.5832999999999999</v>
      </c>
    </row>
    <row r="144" spans="1:14" ht="15">
      <c r="A144" s="13">
        <v>46235</v>
      </c>
      <c r="B144" s="60">
        <f>3.3444 * CHOOSE(CONTROL!$C$19, $C$13, 100%, $E$13)</f>
        <v>3.3443999999999998</v>
      </c>
      <c r="C144" s="60">
        <f>3.3444 * CHOOSE(CONTROL!$C$19, $C$13, 100%, $E$13)</f>
        <v>3.3443999999999998</v>
      </c>
      <c r="D144" s="60">
        <f>3.3748 * CHOOSE(CONTROL!$C$19, $C$13, 100%, $E$13)</f>
        <v>3.3748</v>
      </c>
      <c r="E144" s="61">
        <f>3.543 * CHOOSE(CONTROL!$C$19, $C$13, 100%, $E$13)</f>
        <v>3.5430000000000001</v>
      </c>
      <c r="F144" s="61">
        <f>3.543 * CHOOSE(CONTROL!$C$19, $C$13, 100%, $E$13)</f>
        <v>3.5430000000000001</v>
      </c>
      <c r="G144" s="61">
        <f>3.5449 * CHOOSE(CONTROL!$C$19, $C$13, 100%, $E$13)</f>
        <v>3.5449000000000002</v>
      </c>
      <c r="H144" s="61">
        <f>5.4353* CHOOSE(CONTROL!$C$19, $C$13, 100%, $E$13)</f>
        <v>5.4352999999999998</v>
      </c>
      <c r="I144" s="61">
        <f>5.4372 * CHOOSE(CONTROL!$C$19, $C$13, 100%, $E$13)</f>
        <v>5.4371999999999998</v>
      </c>
      <c r="J144" s="61">
        <f>3.543 * CHOOSE(CONTROL!$C$19, $C$13, 100%, $E$13)</f>
        <v>3.5430000000000001</v>
      </c>
      <c r="K144" s="61">
        <f>3.5449 * CHOOSE(CONTROL!$C$19, $C$13, 100%, $E$13)</f>
        <v>3.5449000000000002</v>
      </c>
    </row>
    <row r="145" spans="1:11" ht="15">
      <c r="A145" s="13">
        <v>46266</v>
      </c>
      <c r="B145" s="60">
        <f>3.3413 * CHOOSE(CONTROL!$C$19, $C$13, 100%, $E$13)</f>
        <v>3.3412999999999999</v>
      </c>
      <c r="C145" s="60">
        <f>3.3413 * CHOOSE(CONTROL!$C$19, $C$13, 100%, $E$13)</f>
        <v>3.3412999999999999</v>
      </c>
      <c r="D145" s="60">
        <f>3.3717 * CHOOSE(CONTROL!$C$19, $C$13, 100%, $E$13)</f>
        <v>3.3717000000000001</v>
      </c>
      <c r="E145" s="61">
        <f>3.5361 * CHOOSE(CONTROL!$C$19, $C$13, 100%, $E$13)</f>
        <v>3.5360999999999998</v>
      </c>
      <c r="F145" s="61">
        <f>3.5361 * CHOOSE(CONTROL!$C$19, $C$13, 100%, $E$13)</f>
        <v>3.5360999999999998</v>
      </c>
      <c r="G145" s="61">
        <f>3.538 * CHOOSE(CONTROL!$C$19, $C$13, 100%, $E$13)</f>
        <v>3.5379999999999998</v>
      </c>
      <c r="H145" s="61">
        <f>5.4466* CHOOSE(CONTROL!$C$19, $C$13, 100%, $E$13)</f>
        <v>5.4466000000000001</v>
      </c>
      <c r="I145" s="61">
        <f>5.4485 * CHOOSE(CONTROL!$C$19, $C$13, 100%, $E$13)</f>
        <v>5.4485000000000001</v>
      </c>
      <c r="J145" s="61">
        <f>3.5361 * CHOOSE(CONTROL!$C$19, $C$13, 100%, $E$13)</f>
        <v>3.5360999999999998</v>
      </c>
      <c r="K145" s="61">
        <f>3.538 * CHOOSE(CONTROL!$C$19, $C$13, 100%, $E$13)</f>
        <v>3.5379999999999998</v>
      </c>
    </row>
    <row r="146" spans="1:11" ht="15">
      <c r="A146" s="13">
        <v>46296</v>
      </c>
      <c r="B146" s="60">
        <f>3.3341 * CHOOSE(CONTROL!$C$19, $C$13, 100%, $E$13)</f>
        <v>3.3340999999999998</v>
      </c>
      <c r="C146" s="60">
        <f>3.3341 * CHOOSE(CONTROL!$C$19, $C$13, 100%, $E$13)</f>
        <v>3.3340999999999998</v>
      </c>
      <c r="D146" s="60">
        <f>3.3493 * CHOOSE(CONTROL!$C$19, $C$13, 100%, $E$13)</f>
        <v>3.3492999999999999</v>
      </c>
      <c r="E146" s="61">
        <f>3.5418 * CHOOSE(CONTROL!$C$19, $C$13, 100%, $E$13)</f>
        <v>3.5417999999999998</v>
      </c>
      <c r="F146" s="61">
        <f>3.5418 * CHOOSE(CONTROL!$C$19, $C$13, 100%, $E$13)</f>
        <v>3.5417999999999998</v>
      </c>
      <c r="G146" s="61">
        <f>3.542 * CHOOSE(CONTROL!$C$19, $C$13, 100%, $E$13)</f>
        <v>3.5419999999999998</v>
      </c>
      <c r="H146" s="61">
        <f>5.458* CHOOSE(CONTROL!$C$19, $C$13, 100%, $E$13)</f>
        <v>5.4580000000000002</v>
      </c>
      <c r="I146" s="61">
        <f>5.4581 * CHOOSE(CONTROL!$C$19, $C$13, 100%, $E$13)</f>
        <v>5.4581</v>
      </c>
      <c r="J146" s="61">
        <f>3.5418 * CHOOSE(CONTROL!$C$19, $C$13, 100%, $E$13)</f>
        <v>3.5417999999999998</v>
      </c>
      <c r="K146" s="61">
        <f>3.542 * CHOOSE(CONTROL!$C$19, $C$13, 100%, $E$13)</f>
        <v>3.5419999999999998</v>
      </c>
    </row>
    <row r="147" spans="1:11" ht="15">
      <c r="A147" s="13">
        <v>46327</v>
      </c>
      <c r="B147" s="60">
        <f>3.3371 * CHOOSE(CONTROL!$C$19, $C$13, 100%, $E$13)</f>
        <v>3.3371</v>
      </c>
      <c r="C147" s="60">
        <f>3.3371 * CHOOSE(CONTROL!$C$19, $C$13, 100%, $E$13)</f>
        <v>3.3371</v>
      </c>
      <c r="D147" s="60">
        <f>3.3523 * CHOOSE(CONTROL!$C$19, $C$13, 100%, $E$13)</f>
        <v>3.3523000000000001</v>
      </c>
      <c r="E147" s="61">
        <f>3.5535 * CHOOSE(CONTROL!$C$19, $C$13, 100%, $E$13)</f>
        <v>3.5535000000000001</v>
      </c>
      <c r="F147" s="61">
        <f>3.5535 * CHOOSE(CONTROL!$C$19, $C$13, 100%, $E$13)</f>
        <v>3.5535000000000001</v>
      </c>
      <c r="G147" s="61">
        <f>3.5537 * CHOOSE(CONTROL!$C$19, $C$13, 100%, $E$13)</f>
        <v>3.5537000000000001</v>
      </c>
      <c r="H147" s="61">
        <f>5.4693* CHOOSE(CONTROL!$C$19, $C$13, 100%, $E$13)</f>
        <v>5.4692999999999996</v>
      </c>
      <c r="I147" s="61">
        <f>5.4695 * CHOOSE(CONTROL!$C$19, $C$13, 100%, $E$13)</f>
        <v>5.4695</v>
      </c>
      <c r="J147" s="61">
        <f>3.5535 * CHOOSE(CONTROL!$C$19, $C$13, 100%, $E$13)</f>
        <v>3.5535000000000001</v>
      </c>
      <c r="K147" s="61">
        <f>3.5537 * CHOOSE(CONTROL!$C$19, $C$13, 100%, $E$13)</f>
        <v>3.5537000000000001</v>
      </c>
    </row>
    <row r="148" spans="1:11" ht="15">
      <c r="A148" s="13">
        <v>46357</v>
      </c>
      <c r="B148" s="60">
        <f>3.3371 * CHOOSE(CONTROL!$C$19, $C$13, 100%, $E$13)</f>
        <v>3.3371</v>
      </c>
      <c r="C148" s="60">
        <f>3.3371 * CHOOSE(CONTROL!$C$19, $C$13, 100%, $E$13)</f>
        <v>3.3371</v>
      </c>
      <c r="D148" s="60">
        <f>3.3523 * CHOOSE(CONTROL!$C$19, $C$13, 100%, $E$13)</f>
        <v>3.3523000000000001</v>
      </c>
      <c r="E148" s="61">
        <f>3.5296 * CHOOSE(CONTROL!$C$19, $C$13, 100%, $E$13)</f>
        <v>3.5295999999999998</v>
      </c>
      <c r="F148" s="61">
        <f>3.5296 * CHOOSE(CONTROL!$C$19, $C$13, 100%, $E$13)</f>
        <v>3.5295999999999998</v>
      </c>
      <c r="G148" s="61">
        <f>3.5297 * CHOOSE(CONTROL!$C$19, $C$13, 100%, $E$13)</f>
        <v>3.5297000000000001</v>
      </c>
      <c r="H148" s="61">
        <f>5.4807* CHOOSE(CONTROL!$C$19, $C$13, 100%, $E$13)</f>
        <v>5.4806999999999997</v>
      </c>
      <c r="I148" s="61">
        <f>5.4809 * CHOOSE(CONTROL!$C$19, $C$13, 100%, $E$13)</f>
        <v>5.4809000000000001</v>
      </c>
      <c r="J148" s="61">
        <f>3.5296 * CHOOSE(CONTROL!$C$19, $C$13, 100%, $E$13)</f>
        <v>3.5295999999999998</v>
      </c>
      <c r="K148" s="61">
        <f>3.5297 * CHOOSE(CONTROL!$C$19, $C$13, 100%, $E$13)</f>
        <v>3.5297000000000001</v>
      </c>
    </row>
    <row r="149" spans="1:11" ht="15">
      <c r="A149" s="13">
        <v>46388</v>
      </c>
      <c r="B149" s="60">
        <f>3.365 * CHOOSE(CONTROL!$C$19, $C$13, 100%, $E$13)</f>
        <v>3.3650000000000002</v>
      </c>
      <c r="C149" s="60">
        <f>3.365 * CHOOSE(CONTROL!$C$19, $C$13, 100%, $E$13)</f>
        <v>3.3650000000000002</v>
      </c>
      <c r="D149" s="60">
        <f>3.3802 * CHOOSE(CONTROL!$C$19, $C$13, 100%, $E$13)</f>
        <v>3.3801999999999999</v>
      </c>
      <c r="E149" s="61">
        <f>3.5929 * CHOOSE(CONTROL!$C$19, $C$13, 100%, $E$13)</f>
        <v>3.5929000000000002</v>
      </c>
      <c r="F149" s="61">
        <f>3.5929 * CHOOSE(CONTROL!$C$19, $C$13, 100%, $E$13)</f>
        <v>3.5929000000000002</v>
      </c>
      <c r="G149" s="61">
        <f>3.5931 * CHOOSE(CONTROL!$C$19, $C$13, 100%, $E$13)</f>
        <v>3.5931000000000002</v>
      </c>
      <c r="H149" s="61">
        <f>5.4921* CHOOSE(CONTROL!$C$19, $C$13, 100%, $E$13)</f>
        <v>5.4920999999999998</v>
      </c>
      <c r="I149" s="61">
        <f>5.4923 * CHOOSE(CONTROL!$C$19, $C$13, 100%, $E$13)</f>
        <v>5.4923000000000002</v>
      </c>
      <c r="J149" s="61">
        <f>3.5929 * CHOOSE(CONTROL!$C$19, $C$13, 100%, $E$13)</f>
        <v>3.5929000000000002</v>
      </c>
      <c r="K149" s="61">
        <f>3.5931 * CHOOSE(CONTROL!$C$19, $C$13, 100%, $E$13)</f>
        <v>3.5931000000000002</v>
      </c>
    </row>
    <row r="150" spans="1:11" ht="15">
      <c r="A150" s="13">
        <v>46419</v>
      </c>
      <c r="B150" s="60">
        <f>3.362 * CHOOSE(CONTROL!$C$19, $C$13, 100%, $E$13)</f>
        <v>3.3620000000000001</v>
      </c>
      <c r="C150" s="60">
        <f>3.362 * CHOOSE(CONTROL!$C$19, $C$13, 100%, $E$13)</f>
        <v>3.3620000000000001</v>
      </c>
      <c r="D150" s="60">
        <f>3.3772 * CHOOSE(CONTROL!$C$19, $C$13, 100%, $E$13)</f>
        <v>3.3772000000000002</v>
      </c>
      <c r="E150" s="61">
        <f>3.5426 * CHOOSE(CONTROL!$C$19, $C$13, 100%, $E$13)</f>
        <v>3.5426000000000002</v>
      </c>
      <c r="F150" s="61">
        <f>3.5426 * CHOOSE(CONTROL!$C$19, $C$13, 100%, $E$13)</f>
        <v>3.5426000000000002</v>
      </c>
      <c r="G150" s="61">
        <f>3.5427 * CHOOSE(CONTROL!$C$19, $C$13, 100%, $E$13)</f>
        <v>3.5427</v>
      </c>
      <c r="H150" s="61">
        <f>5.5036* CHOOSE(CONTROL!$C$19, $C$13, 100%, $E$13)</f>
        <v>5.5035999999999996</v>
      </c>
      <c r="I150" s="61">
        <f>5.5038 * CHOOSE(CONTROL!$C$19, $C$13, 100%, $E$13)</f>
        <v>5.5038</v>
      </c>
      <c r="J150" s="61">
        <f>3.5426 * CHOOSE(CONTROL!$C$19, $C$13, 100%, $E$13)</f>
        <v>3.5426000000000002</v>
      </c>
      <c r="K150" s="61">
        <f>3.5427 * CHOOSE(CONTROL!$C$19, $C$13, 100%, $E$13)</f>
        <v>3.5427</v>
      </c>
    </row>
    <row r="151" spans="1:11" ht="15">
      <c r="A151" s="13">
        <v>46447</v>
      </c>
      <c r="B151" s="60">
        <f>3.359 * CHOOSE(CONTROL!$C$19, $C$13, 100%, $E$13)</f>
        <v>3.359</v>
      </c>
      <c r="C151" s="60">
        <f>3.359 * CHOOSE(CONTROL!$C$19, $C$13, 100%, $E$13)</f>
        <v>3.359</v>
      </c>
      <c r="D151" s="60">
        <f>3.3741 * CHOOSE(CONTROL!$C$19, $C$13, 100%, $E$13)</f>
        <v>3.3740999999999999</v>
      </c>
      <c r="E151" s="61">
        <f>3.5785 * CHOOSE(CONTROL!$C$19, $C$13, 100%, $E$13)</f>
        <v>3.5785</v>
      </c>
      <c r="F151" s="61">
        <f>3.5785 * CHOOSE(CONTROL!$C$19, $C$13, 100%, $E$13)</f>
        <v>3.5785</v>
      </c>
      <c r="G151" s="61">
        <f>3.5787 * CHOOSE(CONTROL!$C$19, $C$13, 100%, $E$13)</f>
        <v>3.5787</v>
      </c>
      <c r="H151" s="61">
        <f>5.515* CHOOSE(CONTROL!$C$19, $C$13, 100%, $E$13)</f>
        <v>5.5149999999999997</v>
      </c>
      <c r="I151" s="61">
        <f>5.5152 * CHOOSE(CONTROL!$C$19, $C$13, 100%, $E$13)</f>
        <v>5.5152000000000001</v>
      </c>
      <c r="J151" s="61">
        <f>3.5785 * CHOOSE(CONTROL!$C$19, $C$13, 100%, $E$13)</f>
        <v>3.5785</v>
      </c>
      <c r="K151" s="61">
        <f>3.5787 * CHOOSE(CONTROL!$C$19, $C$13, 100%, $E$13)</f>
        <v>3.5787</v>
      </c>
    </row>
    <row r="152" spans="1:11" ht="15">
      <c r="A152" s="13">
        <v>46478</v>
      </c>
      <c r="B152" s="60">
        <f>3.356 * CHOOSE(CONTROL!$C$19, $C$13, 100%, $E$13)</f>
        <v>3.3559999999999999</v>
      </c>
      <c r="C152" s="60">
        <f>3.356 * CHOOSE(CONTROL!$C$19, $C$13, 100%, $E$13)</f>
        <v>3.3559999999999999</v>
      </c>
      <c r="D152" s="60">
        <f>3.3712 * CHOOSE(CONTROL!$C$19, $C$13, 100%, $E$13)</f>
        <v>3.3712</v>
      </c>
      <c r="E152" s="61">
        <f>3.6151 * CHOOSE(CONTROL!$C$19, $C$13, 100%, $E$13)</f>
        <v>3.6151</v>
      </c>
      <c r="F152" s="61">
        <f>3.6151 * CHOOSE(CONTROL!$C$19, $C$13, 100%, $E$13)</f>
        <v>3.6151</v>
      </c>
      <c r="G152" s="61">
        <f>3.6153 * CHOOSE(CONTROL!$C$19, $C$13, 100%, $E$13)</f>
        <v>3.6153</v>
      </c>
      <c r="H152" s="61">
        <f>5.5265* CHOOSE(CONTROL!$C$19, $C$13, 100%, $E$13)</f>
        <v>5.5265000000000004</v>
      </c>
      <c r="I152" s="61">
        <f>5.5267 * CHOOSE(CONTROL!$C$19, $C$13, 100%, $E$13)</f>
        <v>5.5266999999999999</v>
      </c>
      <c r="J152" s="61">
        <f>3.6151 * CHOOSE(CONTROL!$C$19, $C$13, 100%, $E$13)</f>
        <v>3.6151</v>
      </c>
      <c r="K152" s="61">
        <f>3.6153 * CHOOSE(CONTROL!$C$19, $C$13, 100%, $E$13)</f>
        <v>3.6153</v>
      </c>
    </row>
    <row r="153" spans="1:11" ht="15">
      <c r="A153" s="13">
        <v>46508</v>
      </c>
      <c r="B153" s="60">
        <f>3.356 * CHOOSE(CONTROL!$C$19, $C$13, 100%, $E$13)</f>
        <v>3.3559999999999999</v>
      </c>
      <c r="C153" s="60">
        <f>3.356 * CHOOSE(CONTROL!$C$19, $C$13, 100%, $E$13)</f>
        <v>3.3559999999999999</v>
      </c>
      <c r="D153" s="60">
        <f>3.3864 * CHOOSE(CONTROL!$C$19, $C$13, 100%, $E$13)</f>
        <v>3.3864000000000001</v>
      </c>
      <c r="E153" s="61">
        <f>3.6304 * CHOOSE(CONTROL!$C$19, $C$13, 100%, $E$13)</f>
        <v>3.6303999999999998</v>
      </c>
      <c r="F153" s="61">
        <f>3.6304 * CHOOSE(CONTROL!$C$19, $C$13, 100%, $E$13)</f>
        <v>3.6303999999999998</v>
      </c>
      <c r="G153" s="61">
        <f>3.6323 * CHOOSE(CONTROL!$C$19, $C$13, 100%, $E$13)</f>
        <v>3.6322999999999999</v>
      </c>
      <c r="H153" s="61">
        <f>5.538* CHOOSE(CONTROL!$C$19, $C$13, 100%, $E$13)</f>
        <v>5.5380000000000003</v>
      </c>
      <c r="I153" s="61">
        <f>5.5399 * CHOOSE(CONTROL!$C$19, $C$13, 100%, $E$13)</f>
        <v>5.5399000000000003</v>
      </c>
      <c r="J153" s="61">
        <f>3.6304 * CHOOSE(CONTROL!$C$19, $C$13, 100%, $E$13)</f>
        <v>3.6303999999999998</v>
      </c>
      <c r="K153" s="61">
        <f>3.6323 * CHOOSE(CONTROL!$C$19, $C$13, 100%, $E$13)</f>
        <v>3.6322999999999999</v>
      </c>
    </row>
    <row r="154" spans="1:11" ht="15">
      <c r="A154" s="13">
        <v>46539</v>
      </c>
      <c r="B154" s="60">
        <f>3.3621 * CHOOSE(CONTROL!$C$19, $C$13, 100%, $E$13)</f>
        <v>3.3620999999999999</v>
      </c>
      <c r="C154" s="60">
        <f>3.3621 * CHOOSE(CONTROL!$C$19, $C$13, 100%, $E$13)</f>
        <v>3.3620999999999999</v>
      </c>
      <c r="D154" s="60">
        <f>3.3925 * CHOOSE(CONTROL!$C$19, $C$13, 100%, $E$13)</f>
        <v>3.3925000000000001</v>
      </c>
      <c r="E154" s="61">
        <f>3.6193 * CHOOSE(CONTROL!$C$19, $C$13, 100%, $E$13)</f>
        <v>3.6193</v>
      </c>
      <c r="F154" s="61">
        <f>3.6193 * CHOOSE(CONTROL!$C$19, $C$13, 100%, $E$13)</f>
        <v>3.6193</v>
      </c>
      <c r="G154" s="61">
        <f>3.6212 * CHOOSE(CONTROL!$C$19, $C$13, 100%, $E$13)</f>
        <v>3.6212</v>
      </c>
      <c r="H154" s="61">
        <f>5.5496* CHOOSE(CONTROL!$C$19, $C$13, 100%, $E$13)</f>
        <v>5.5495999999999999</v>
      </c>
      <c r="I154" s="61">
        <f>5.5515 * CHOOSE(CONTROL!$C$19, $C$13, 100%, $E$13)</f>
        <v>5.5514999999999999</v>
      </c>
      <c r="J154" s="61">
        <f>3.6193 * CHOOSE(CONTROL!$C$19, $C$13, 100%, $E$13)</f>
        <v>3.6193</v>
      </c>
      <c r="K154" s="61">
        <f>3.6212 * CHOOSE(CONTROL!$C$19, $C$13, 100%, $E$13)</f>
        <v>3.6212</v>
      </c>
    </row>
    <row r="155" spans="1:11" ht="15">
      <c r="A155" s="13">
        <v>46569</v>
      </c>
      <c r="B155" s="60">
        <f>3.4138 * CHOOSE(CONTROL!$C$19, $C$13, 100%, $E$13)</f>
        <v>3.4138000000000002</v>
      </c>
      <c r="C155" s="60">
        <f>3.4138 * CHOOSE(CONTROL!$C$19, $C$13, 100%, $E$13)</f>
        <v>3.4138000000000002</v>
      </c>
      <c r="D155" s="60">
        <f>3.4441 * CHOOSE(CONTROL!$C$19, $C$13, 100%, $E$13)</f>
        <v>3.4441000000000002</v>
      </c>
      <c r="E155" s="61">
        <f>3.6808 * CHOOSE(CONTROL!$C$19, $C$13, 100%, $E$13)</f>
        <v>3.6808000000000001</v>
      </c>
      <c r="F155" s="61">
        <f>3.6808 * CHOOSE(CONTROL!$C$19, $C$13, 100%, $E$13)</f>
        <v>3.6808000000000001</v>
      </c>
      <c r="G155" s="61">
        <f>3.6827 * CHOOSE(CONTROL!$C$19, $C$13, 100%, $E$13)</f>
        <v>3.6827000000000001</v>
      </c>
      <c r="H155" s="61">
        <f>5.5611* CHOOSE(CONTROL!$C$19, $C$13, 100%, $E$13)</f>
        <v>5.5610999999999997</v>
      </c>
      <c r="I155" s="61">
        <f>5.563 * CHOOSE(CONTROL!$C$19, $C$13, 100%, $E$13)</f>
        <v>5.5629999999999997</v>
      </c>
      <c r="J155" s="61">
        <f>3.6808 * CHOOSE(CONTROL!$C$19, $C$13, 100%, $E$13)</f>
        <v>3.6808000000000001</v>
      </c>
      <c r="K155" s="61">
        <f>3.6827 * CHOOSE(CONTROL!$C$19, $C$13, 100%, $E$13)</f>
        <v>3.6827000000000001</v>
      </c>
    </row>
    <row r="156" spans="1:11" ht="15">
      <c r="A156" s="13">
        <v>46600</v>
      </c>
      <c r="B156" s="60">
        <f>3.4205 * CHOOSE(CONTROL!$C$19, $C$13, 100%, $E$13)</f>
        <v>3.4205000000000001</v>
      </c>
      <c r="C156" s="60">
        <f>3.4205 * CHOOSE(CONTROL!$C$19, $C$13, 100%, $E$13)</f>
        <v>3.4205000000000001</v>
      </c>
      <c r="D156" s="60">
        <f>3.4508 * CHOOSE(CONTROL!$C$19, $C$13, 100%, $E$13)</f>
        <v>3.4508000000000001</v>
      </c>
      <c r="E156" s="61">
        <f>3.6395 * CHOOSE(CONTROL!$C$19, $C$13, 100%, $E$13)</f>
        <v>3.6395</v>
      </c>
      <c r="F156" s="61">
        <f>3.6395 * CHOOSE(CONTROL!$C$19, $C$13, 100%, $E$13)</f>
        <v>3.6395</v>
      </c>
      <c r="G156" s="61">
        <f>3.6414 * CHOOSE(CONTROL!$C$19, $C$13, 100%, $E$13)</f>
        <v>3.6414</v>
      </c>
      <c r="H156" s="61">
        <f>5.5727* CHOOSE(CONTROL!$C$19, $C$13, 100%, $E$13)</f>
        <v>5.5727000000000002</v>
      </c>
      <c r="I156" s="61">
        <f>5.5746 * CHOOSE(CONTROL!$C$19, $C$13, 100%, $E$13)</f>
        <v>5.5746000000000002</v>
      </c>
      <c r="J156" s="61">
        <f>3.6395 * CHOOSE(CONTROL!$C$19, $C$13, 100%, $E$13)</f>
        <v>3.6395</v>
      </c>
      <c r="K156" s="61">
        <f>3.6414 * CHOOSE(CONTROL!$C$19, $C$13, 100%, $E$13)</f>
        <v>3.6414</v>
      </c>
    </row>
    <row r="157" spans="1:11" ht="15">
      <c r="A157" s="13">
        <v>46631</v>
      </c>
      <c r="B157" s="60">
        <f>3.4174 * CHOOSE(CONTROL!$C$19, $C$13, 100%, $E$13)</f>
        <v>3.4174000000000002</v>
      </c>
      <c r="C157" s="60">
        <f>3.4174 * CHOOSE(CONTROL!$C$19, $C$13, 100%, $E$13)</f>
        <v>3.4174000000000002</v>
      </c>
      <c r="D157" s="60">
        <f>3.4478 * CHOOSE(CONTROL!$C$19, $C$13, 100%, $E$13)</f>
        <v>3.4478</v>
      </c>
      <c r="E157" s="61">
        <f>3.6323 * CHOOSE(CONTROL!$C$19, $C$13, 100%, $E$13)</f>
        <v>3.6322999999999999</v>
      </c>
      <c r="F157" s="61">
        <f>3.6323 * CHOOSE(CONTROL!$C$19, $C$13, 100%, $E$13)</f>
        <v>3.6322999999999999</v>
      </c>
      <c r="G157" s="61">
        <f>3.6342 * CHOOSE(CONTROL!$C$19, $C$13, 100%, $E$13)</f>
        <v>3.6341999999999999</v>
      </c>
      <c r="H157" s="61">
        <f>5.5843* CHOOSE(CONTROL!$C$19, $C$13, 100%, $E$13)</f>
        <v>5.5842999999999998</v>
      </c>
      <c r="I157" s="61">
        <f>5.5862 * CHOOSE(CONTROL!$C$19, $C$13, 100%, $E$13)</f>
        <v>5.5861999999999998</v>
      </c>
      <c r="J157" s="61">
        <f>3.6323 * CHOOSE(CONTROL!$C$19, $C$13, 100%, $E$13)</f>
        <v>3.6322999999999999</v>
      </c>
      <c r="K157" s="61">
        <f>3.6342 * CHOOSE(CONTROL!$C$19, $C$13, 100%, $E$13)</f>
        <v>3.6341999999999999</v>
      </c>
    </row>
    <row r="158" spans="1:11" ht="15">
      <c r="A158" s="13">
        <v>46661</v>
      </c>
      <c r="B158" s="60">
        <f>3.4105 * CHOOSE(CONTROL!$C$19, $C$13, 100%, $E$13)</f>
        <v>3.4104999999999999</v>
      </c>
      <c r="C158" s="60">
        <f>3.4105 * CHOOSE(CONTROL!$C$19, $C$13, 100%, $E$13)</f>
        <v>3.4104999999999999</v>
      </c>
      <c r="D158" s="60">
        <f>3.4256 * CHOOSE(CONTROL!$C$19, $C$13, 100%, $E$13)</f>
        <v>3.4256000000000002</v>
      </c>
      <c r="E158" s="61">
        <f>3.6393 * CHOOSE(CONTROL!$C$19, $C$13, 100%, $E$13)</f>
        <v>3.6393</v>
      </c>
      <c r="F158" s="61">
        <f>3.6393 * CHOOSE(CONTROL!$C$19, $C$13, 100%, $E$13)</f>
        <v>3.6393</v>
      </c>
      <c r="G158" s="61">
        <f>3.6395 * CHOOSE(CONTROL!$C$19, $C$13, 100%, $E$13)</f>
        <v>3.6395</v>
      </c>
      <c r="H158" s="61">
        <f>5.596* CHOOSE(CONTROL!$C$19, $C$13, 100%, $E$13)</f>
        <v>5.5960000000000001</v>
      </c>
      <c r="I158" s="61">
        <f>5.5962 * CHOOSE(CONTROL!$C$19, $C$13, 100%, $E$13)</f>
        <v>5.5961999999999996</v>
      </c>
      <c r="J158" s="61">
        <f>3.6393 * CHOOSE(CONTROL!$C$19, $C$13, 100%, $E$13)</f>
        <v>3.6393</v>
      </c>
      <c r="K158" s="61">
        <f>3.6395 * CHOOSE(CONTROL!$C$19, $C$13, 100%, $E$13)</f>
        <v>3.6395</v>
      </c>
    </row>
    <row r="159" spans="1:11" ht="15">
      <c r="A159" s="13">
        <v>46692</v>
      </c>
      <c r="B159" s="60">
        <f>3.4135 * CHOOSE(CONTROL!$C$19, $C$13, 100%, $E$13)</f>
        <v>3.4135</v>
      </c>
      <c r="C159" s="60">
        <f>3.4135 * CHOOSE(CONTROL!$C$19, $C$13, 100%, $E$13)</f>
        <v>3.4135</v>
      </c>
      <c r="D159" s="60">
        <f>3.4287 * CHOOSE(CONTROL!$C$19, $C$13, 100%, $E$13)</f>
        <v>3.4287000000000001</v>
      </c>
      <c r="E159" s="61">
        <f>3.6516 * CHOOSE(CONTROL!$C$19, $C$13, 100%, $E$13)</f>
        <v>3.6516000000000002</v>
      </c>
      <c r="F159" s="61">
        <f>3.6516 * CHOOSE(CONTROL!$C$19, $C$13, 100%, $E$13)</f>
        <v>3.6516000000000002</v>
      </c>
      <c r="G159" s="61">
        <f>3.6518 * CHOOSE(CONTROL!$C$19, $C$13, 100%, $E$13)</f>
        <v>3.6518000000000002</v>
      </c>
      <c r="H159" s="61">
        <f>5.6076* CHOOSE(CONTROL!$C$19, $C$13, 100%, $E$13)</f>
        <v>5.6075999999999997</v>
      </c>
      <c r="I159" s="61">
        <f>5.6078 * CHOOSE(CONTROL!$C$19, $C$13, 100%, $E$13)</f>
        <v>5.6078000000000001</v>
      </c>
      <c r="J159" s="61">
        <f>3.6516 * CHOOSE(CONTROL!$C$19, $C$13, 100%, $E$13)</f>
        <v>3.6516000000000002</v>
      </c>
      <c r="K159" s="61">
        <f>3.6518 * CHOOSE(CONTROL!$C$19, $C$13, 100%, $E$13)</f>
        <v>3.6518000000000002</v>
      </c>
    </row>
    <row r="160" spans="1:11" ht="15">
      <c r="A160" s="13">
        <v>46722</v>
      </c>
      <c r="B160" s="60">
        <f>3.4135 * CHOOSE(CONTROL!$C$19, $C$13, 100%, $E$13)</f>
        <v>3.4135</v>
      </c>
      <c r="C160" s="60">
        <f>3.4135 * CHOOSE(CONTROL!$C$19, $C$13, 100%, $E$13)</f>
        <v>3.4135</v>
      </c>
      <c r="D160" s="60">
        <f>3.4287 * CHOOSE(CONTROL!$C$19, $C$13, 100%, $E$13)</f>
        <v>3.4287000000000001</v>
      </c>
      <c r="E160" s="61">
        <f>3.6261 * CHOOSE(CONTROL!$C$19, $C$13, 100%, $E$13)</f>
        <v>3.6261000000000001</v>
      </c>
      <c r="F160" s="61">
        <f>3.6261 * CHOOSE(CONTROL!$C$19, $C$13, 100%, $E$13)</f>
        <v>3.6261000000000001</v>
      </c>
      <c r="G160" s="61">
        <f>3.6263 * CHOOSE(CONTROL!$C$19, $C$13, 100%, $E$13)</f>
        <v>3.6263000000000001</v>
      </c>
      <c r="H160" s="61">
        <f>5.6193* CHOOSE(CONTROL!$C$19, $C$13, 100%, $E$13)</f>
        <v>5.6193</v>
      </c>
      <c r="I160" s="61">
        <f>5.6195 * CHOOSE(CONTROL!$C$19, $C$13, 100%, $E$13)</f>
        <v>5.6195000000000004</v>
      </c>
      <c r="J160" s="61">
        <f>3.6261 * CHOOSE(CONTROL!$C$19, $C$13, 100%, $E$13)</f>
        <v>3.6261000000000001</v>
      </c>
      <c r="K160" s="61">
        <f>3.6263 * CHOOSE(CONTROL!$C$19, $C$13, 100%, $E$13)</f>
        <v>3.6263000000000001</v>
      </c>
    </row>
    <row r="161" spans="1:11" ht="15">
      <c r="A161" s="13">
        <v>46753</v>
      </c>
      <c r="B161" s="60">
        <f>3.4451 * CHOOSE(CONTROL!$C$19, $C$13, 100%, $E$13)</f>
        <v>3.4451000000000001</v>
      </c>
      <c r="C161" s="60">
        <f>3.4451 * CHOOSE(CONTROL!$C$19, $C$13, 100%, $E$13)</f>
        <v>3.4451000000000001</v>
      </c>
      <c r="D161" s="60">
        <f>3.4603 * CHOOSE(CONTROL!$C$19, $C$13, 100%, $E$13)</f>
        <v>3.4603000000000002</v>
      </c>
      <c r="E161" s="61">
        <f>3.657 * CHOOSE(CONTROL!$C$19, $C$13, 100%, $E$13)</f>
        <v>3.657</v>
      </c>
      <c r="F161" s="61">
        <f>3.657 * CHOOSE(CONTROL!$C$19, $C$13, 100%, $E$13)</f>
        <v>3.657</v>
      </c>
      <c r="G161" s="61">
        <f>3.6571 * CHOOSE(CONTROL!$C$19, $C$13, 100%, $E$13)</f>
        <v>3.6570999999999998</v>
      </c>
      <c r="H161" s="61">
        <f>5.631* CHOOSE(CONTROL!$C$19, $C$13, 100%, $E$13)</f>
        <v>5.6310000000000002</v>
      </c>
      <c r="I161" s="61">
        <f>5.6312 * CHOOSE(CONTROL!$C$19, $C$13, 100%, $E$13)</f>
        <v>5.6311999999999998</v>
      </c>
      <c r="J161" s="61">
        <f>3.657 * CHOOSE(CONTROL!$C$19, $C$13, 100%, $E$13)</f>
        <v>3.657</v>
      </c>
      <c r="K161" s="61">
        <f>3.6571 * CHOOSE(CONTROL!$C$19, $C$13, 100%, $E$13)</f>
        <v>3.6570999999999998</v>
      </c>
    </row>
    <row r="162" spans="1:11" ht="15">
      <c r="A162" s="13">
        <v>46784</v>
      </c>
      <c r="B162" s="60">
        <f>3.4421 * CHOOSE(CONTROL!$C$19, $C$13, 100%, $E$13)</f>
        <v>3.4420999999999999</v>
      </c>
      <c r="C162" s="60">
        <f>3.4421 * CHOOSE(CONTROL!$C$19, $C$13, 100%, $E$13)</f>
        <v>3.4420999999999999</v>
      </c>
      <c r="D162" s="60">
        <f>3.4573 * CHOOSE(CONTROL!$C$19, $C$13, 100%, $E$13)</f>
        <v>3.4573</v>
      </c>
      <c r="E162" s="61">
        <f>3.6037 * CHOOSE(CONTROL!$C$19, $C$13, 100%, $E$13)</f>
        <v>3.6036999999999999</v>
      </c>
      <c r="F162" s="61">
        <f>3.6037 * CHOOSE(CONTROL!$C$19, $C$13, 100%, $E$13)</f>
        <v>3.6036999999999999</v>
      </c>
      <c r="G162" s="61">
        <f>3.6039 * CHOOSE(CONTROL!$C$19, $C$13, 100%, $E$13)</f>
        <v>3.6038999999999999</v>
      </c>
      <c r="H162" s="61">
        <f>5.6428* CHOOSE(CONTROL!$C$19, $C$13, 100%, $E$13)</f>
        <v>5.6428000000000003</v>
      </c>
      <c r="I162" s="61">
        <f>5.6429 * CHOOSE(CONTROL!$C$19, $C$13, 100%, $E$13)</f>
        <v>5.6429</v>
      </c>
      <c r="J162" s="61">
        <f>3.6037 * CHOOSE(CONTROL!$C$19, $C$13, 100%, $E$13)</f>
        <v>3.6036999999999999</v>
      </c>
      <c r="K162" s="61">
        <f>3.6039 * CHOOSE(CONTROL!$C$19, $C$13, 100%, $E$13)</f>
        <v>3.6038999999999999</v>
      </c>
    </row>
    <row r="163" spans="1:11" ht="15">
      <c r="A163" s="13">
        <v>46813</v>
      </c>
      <c r="B163" s="60">
        <f>3.439 * CHOOSE(CONTROL!$C$19, $C$13, 100%, $E$13)</f>
        <v>3.4390000000000001</v>
      </c>
      <c r="C163" s="60">
        <f>3.439 * CHOOSE(CONTROL!$C$19, $C$13, 100%, $E$13)</f>
        <v>3.4390000000000001</v>
      </c>
      <c r="D163" s="60">
        <f>3.4542 * CHOOSE(CONTROL!$C$19, $C$13, 100%, $E$13)</f>
        <v>3.4542000000000002</v>
      </c>
      <c r="E163" s="61">
        <f>3.6419 * CHOOSE(CONTROL!$C$19, $C$13, 100%, $E$13)</f>
        <v>3.6419000000000001</v>
      </c>
      <c r="F163" s="61">
        <f>3.6419 * CHOOSE(CONTROL!$C$19, $C$13, 100%, $E$13)</f>
        <v>3.6419000000000001</v>
      </c>
      <c r="G163" s="61">
        <f>3.6421 * CHOOSE(CONTROL!$C$19, $C$13, 100%, $E$13)</f>
        <v>3.6421000000000001</v>
      </c>
      <c r="H163" s="61">
        <f>5.6545* CHOOSE(CONTROL!$C$19, $C$13, 100%, $E$13)</f>
        <v>5.6544999999999996</v>
      </c>
      <c r="I163" s="61">
        <f>5.6547 * CHOOSE(CONTROL!$C$19, $C$13, 100%, $E$13)</f>
        <v>5.6547000000000001</v>
      </c>
      <c r="J163" s="61">
        <f>3.6419 * CHOOSE(CONTROL!$C$19, $C$13, 100%, $E$13)</f>
        <v>3.6419000000000001</v>
      </c>
      <c r="K163" s="61">
        <f>3.6421 * CHOOSE(CONTROL!$C$19, $C$13, 100%, $E$13)</f>
        <v>3.6421000000000001</v>
      </c>
    </row>
    <row r="164" spans="1:11" ht="15">
      <c r="A164" s="13">
        <v>46844</v>
      </c>
      <c r="B164" s="60">
        <f>3.4362 * CHOOSE(CONTROL!$C$19, $C$13, 100%, $E$13)</f>
        <v>3.4361999999999999</v>
      </c>
      <c r="C164" s="60">
        <f>3.4362 * CHOOSE(CONTROL!$C$19, $C$13, 100%, $E$13)</f>
        <v>3.4361999999999999</v>
      </c>
      <c r="D164" s="60">
        <f>3.4514 * CHOOSE(CONTROL!$C$19, $C$13, 100%, $E$13)</f>
        <v>3.4514</v>
      </c>
      <c r="E164" s="61">
        <f>3.681 * CHOOSE(CONTROL!$C$19, $C$13, 100%, $E$13)</f>
        <v>3.681</v>
      </c>
      <c r="F164" s="61">
        <f>3.681 * CHOOSE(CONTROL!$C$19, $C$13, 100%, $E$13)</f>
        <v>3.681</v>
      </c>
      <c r="G164" s="61">
        <f>3.6811 * CHOOSE(CONTROL!$C$19, $C$13, 100%, $E$13)</f>
        <v>3.6810999999999998</v>
      </c>
      <c r="H164" s="61">
        <f>5.6663* CHOOSE(CONTROL!$C$19, $C$13, 100%, $E$13)</f>
        <v>5.6662999999999997</v>
      </c>
      <c r="I164" s="61">
        <f>5.6665 * CHOOSE(CONTROL!$C$19, $C$13, 100%, $E$13)</f>
        <v>5.6665000000000001</v>
      </c>
      <c r="J164" s="61">
        <f>3.681 * CHOOSE(CONTROL!$C$19, $C$13, 100%, $E$13)</f>
        <v>3.681</v>
      </c>
      <c r="K164" s="61">
        <f>3.6811 * CHOOSE(CONTROL!$C$19, $C$13, 100%, $E$13)</f>
        <v>3.6810999999999998</v>
      </c>
    </row>
    <row r="165" spans="1:11" ht="15">
      <c r="A165" s="13">
        <v>46874</v>
      </c>
      <c r="B165" s="60">
        <f>3.4362 * CHOOSE(CONTROL!$C$19, $C$13, 100%, $E$13)</f>
        <v>3.4361999999999999</v>
      </c>
      <c r="C165" s="60">
        <f>3.4362 * CHOOSE(CONTROL!$C$19, $C$13, 100%, $E$13)</f>
        <v>3.4361999999999999</v>
      </c>
      <c r="D165" s="60">
        <f>3.4665 * CHOOSE(CONTROL!$C$19, $C$13, 100%, $E$13)</f>
        <v>3.4664999999999999</v>
      </c>
      <c r="E165" s="61">
        <f>3.6972 * CHOOSE(CONTROL!$C$19, $C$13, 100%, $E$13)</f>
        <v>3.6972</v>
      </c>
      <c r="F165" s="61">
        <f>3.6972 * CHOOSE(CONTROL!$C$19, $C$13, 100%, $E$13)</f>
        <v>3.6972</v>
      </c>
      <c r="G165" s="61">
        <f>3.6991 * CHOOSE(CONTROL!$C$19, $C$13, 100%, $E$13)</f>
        <v>3.6991000000000001</v>
      </c>
      <c r="H165" s="61">
        <f>5.6781* CHOOSE(CONTROL!$C$19, $C$13, 100%, $E$13)</f>
        <v>5.6780999999999997</v>
      </c>
      <c r="I165" s="61">
        <f>5.68 * CHOOSE(CONTROL!$C$19, $C$13, 100%, $E$13)</f>
        <v>5.68</v>
      </c>
      <c r="J165" s="61">
        <f>3.6972 * CHOOSE(CONTROL!$C$19, $C$13, 100%, $E$13)</f>
        <v>3.6972</v>
      </c>
      <c r="K165" s="61">
        <f>3.6991 * CHOOSE(CONTROL!$C$19, $C$13, 100%, $E$13)</f>
        <v>3.6991000000000001</v>
      </c>
    </row>
    <row r="166" spans="1:11" ht="15">
      <c r="A166" s="13">
        <v>46905</v>
      </c>
      <c r="B166" s="60">
        <f>3.4423 * CHOOSE(CONTROL!$C$19, $C$13, 100%, $E$13)</f>
        <v>3.4422999999999999</v>
      </c>
      <c r="C166" s="60">
        <f>3.4423 * CHOOSE(CONTROL!$C$19, $C$13, 100%, $E$13)</f>
        <v>3.4422999999999999</v>
      </c>
      <c r="D166" s="60">
        <f>3.4726 * CHOOSE(CONTROL!$C$19, $C$13, 100%, $E$13)</f>
        <v>3.4725999999999999</v>
      </c>
      <c r="E166" s="61">
        <f>3.6852 * CHOOSE(CONTROL!$C$19, $C$13, 100%, $E$13)</f>
        <v>3.6852</v>
      </c>
      <c r="F166" s="61">
        <f>3.6852 * CHOOSE(CONTROL!$C$19, $C$13, 100%, $E$13)</f>
        <v>3.6852</v>
      </c>
      <c r="G166" s="61">
        <f>3.6871 * CHOOSE(CONTROL!$C$19, $C$13, 100%, $E$13)</f>
        <v>3.6871</v>
      </c>
      <c r="H166" s="61">
        <f>5.6899* CHOOSE(CONTROL!$C$19, $C$13, 100%, $E$13)</f>
        <v>5.6898999999999997</v>
      </c>
      <c r="I166" s="61">
        <f>5.6918 * CHOOSE(CONTROL!$C$19, $C$13, 100%, $E$13)</f>
        <v>5.6917999999999997</v>
      </c>
      <c r="J166" s="61">
        <f>3.6852 * CHOOSE(CONTROL!$C$19, $C$13, 100%, $E$13)</f>
        <v>3.6852</v>
      </c>
      <c r="K166" s="61">
        <f>3.6871 * CHOOSE(CONTROL!$C$19, $C$13, 100%, $E$13)</f>
        <v>3.6871</v>
      </c>
    </row>
    <row r="167" spans="1:11" ht="15">
      <c r="A167" s="13">
        <v>46935</v>
      </c>
      <c r="B167" s="60">
        <f>3.5022 * CHOOSE(CONTROL!$C$19, $C$13, 100%, $E$13)</f>
        <v>3.5022000000000002</v>
      </c>
      <c r="C167" s="60">
        <f>3.5022 * CHOOSE(CONTROL!$C$19, $C$13, 100%, $E$13)</f>
        <v>3.5022000000000002</v>
      </c>
      <c r="D167" s="60">
        <f>3.5325 * CHOOSE(CONTROL!$C$19, $C$13, 100%, $E$13)</f>
        <v>3.5325000000000002</v>
      </c>
      <c r="E167" s="61">
        <f>3.6679 * CHOOSE(CONTROL!$C$19, $C$13, 100%, $E$13)</f>
        <v>3.6678999999999999</v>
      </c>
      <c r="F167" s="61">
        <f>3.6679 * CHOOSE(CONTROL!$C$19, $C$13, 100%, $E$13)</f>
        <v>3.6678999999999999</v>
      </c>
      <c r="G167" s="61">
        <f>3.6698 * CHOOSE(CONTROL!$C$19, $C$13, 100%, $E$13)</f>
        <v>3.6698</v>
      </c>
      <c r="H167" s="61">
        <f>5.7018* CHOOSE(CONTROL!$C$19, $C$13, 100%, $E$13)</f>
        <v>5.7018000000000004</v>
      </c>
      <c r="I167" s="61">
        <f>5.7037 * CHOOSE(CONTROL!$C$19, $C$13, 100%, $E$13)</f>
        <v>5.7037000000000004</v>
      </c>
      <c r="J167" s="61">
        <f>3.6679 * CHOOSE(CONTROL!$C$19, $C$13, 100%, $E$13)</f>
        <v>3.6678999999999999</v>
      </c>
      <c r="K167" s="61">
        <f>3.6698 * CHOOSE(CONTROL!$C$19, $C$13, 100%, $E$13)</f>
        <v>3.6698</v>
      </c>
    </row>
    <row r="168" spans="1:11" ht="15">
      <c r="A168" s="13">
        <v>46966</v>
      </c>
      <c r="B168" s="60">
        <f>3.5089 * CHOOSE(CONTROL!$C$19, $C$13, 100%, $E$13)</f>
        <v>3.5089000000000001</v>
      </c>
      <c r="C168" s="60">
        <f>3.5089 * CHOOSE(CONTROL!$C$19, $C$13, 100%, $E$13)</f>
        <v>3.5089000000000001</v>
      </c>
      <c r="D168" s="60">
        <f>3.5392 * CHOOSE(CONTROL!$C$19, $C$13, 100%, $E$13)</f>
        <v>3.5392000000000001</v>
      </c>
      <c r="E168" s="61">
        <f>3.6238 * CHOOSE(CONTROL!$C$19, $C$13, 100%, $E$13)</f>
        <v>3.6238000000000001</v>
      </c>
      <c r="F168" s="61">
        <f>3.6238 * CHOOSE(CONTROL!$C$19, $C$13, 100%, $E$13)</f>
        <v>3.6238000000000001</v>
      </c>
      <c r="G168" s="61">
        <f>3.6257 * CHOOSE(CONTROL!$C$19, $C$13, 100%, $E$13)</f>
        <v>3.6257000000000001</v>
      </c>
      <c r="H168" s="61">
        <f>5.7137* CHOOSE(CONTROL!$C$19, $C$13, 100%, $E$13)</f>
        <v>5.7137000000000002</v>
      </c>
      <c r="I168" s="61">
        <f>5.7156 * CHOOSE(CONTROL!$C$19, $C$13, 100%, $E$13)</f>
        <v>5.7156000000000002</v>
      </c>
      <c r="J168" s="61">
        <f>3.6238 * CHOOSE(CONTROL!$C$19, $C$13, 100%, $E$13)</f>
        <v>3.6238000000000001</v>
      </c>
      <c r="K168" s="61">
        <f>3.6257 * CHOOSE(CONTROL!$C$19, $C$13, 100%, $E$13)</f>
        <v>3.6257000000000001</v>
      </c>
    </row>
    <row r="169" spans="1:11" ht="15">
      <c r="A169" s="13">
        <v>46997</v>
      </c>
      <c r="B169" s="60">
        <f>3.5058 * CHOOSE(CONTROL!$C$19, $C$13, 100%, $E$13)</f>
        <v>3.5057999999999998</v>
      </c>
      <c r="C169" s="60">
        <f>3.5058 * CHOOSE(CONTROL!$C$19, $C$13, 100%, $E$13)</f>
        <v>3.5057999999999998</v>
      </c>
      <c r="D169" s="60">
        <f>3.5362 * CHOOSE(CONTROL!$C$19, $C$13, 100%, $E$13)</f>
        <v>3.5362</v>
      </c>
      <c r="E169" s="61">
        <f>3.6163 * CHOOSE(CONTROL!$C$19, $C$13, 100%, $E$13)</f>
        <v>3.6162999999999998</v>
      </c>
      <c r="F169" s="61">
        <f>3.6163 * CHOOSE(CONTROL!$C$19, $C$13, 100%, $E$13)</f>
        <v>3.6162999999999998</v>
      </c>
      <c r="G169" s="61">
        <f>3.6182 * CHOOSE(CONTROL!$C$19, $C$13, 100%, $E$13)</f>
        <v>3.6181999999999999</v>
      </c>
      <c r="H169" s="61">
        <f>5.7256* CHOOSE(CONTROL!$C$19, $C$13, 100%, $E$13)</f>
        <v>5.7256</v>
      </c>
      <c r="I169" s="61">
        <f>5.7275 * CHOOSE(CONTROL!$C$19, $C$13, 100%, $E$13)</f>
        <v>5.7275</v>
      </c>
      <c r="J169" s="61">
        <f>3.6163 * CHOOSE(CONTROL!$C$19, $C$13, 100%, $E$13)</f>
        <v>3.6162999999999998</v>
      </c>
      <c r="K169" s="61">
        <f>3.6182 * CHOOSE(CONTROL!$C$19, $C$13, 100%, $E$13)</f>
        <v>3.6181999999999999</v>
      </c>
    </row>
    <row r="170" spans="1:11" ht="15">
      <c r="A170" s="13">
        <v>47027</v>
      </c>
      <c r="B170" s="60">
        <f>3.4992 * CHOOSE(CONTROL!$C$19, $C$13, 100%, $E$13)</f>
        <v>3.4992000000000001</v>
      </c>
      <c r="C170" s="60">
        <f>3.4992 * CHOOSE(CONTROL!$C$19, $C$13, 100%, $E$13)</f>
        <v>3.4992000000000001</v>
      </c>
      <c r="D170" s="60">
        <f>3.5143 * CHOOSE(CONTROL!$C$19, $C$13, 100%, $E$13)</f>
        <v>3.5143</v>
      </c>
      <c r="E170" s="61">
        <f>3.6245 * CHOOSE(CONTROL!$C$19, $C$13, 100%, $E$13)</f>
        <v>3.6244999999999998</v>
      </c>
      <c r="F170" s="61">
        <f>3.6245 * CHOOSE(CONTROL!$C$19, $C$13, 100%, $E$13)</f>
        <v>3.6244999999999998</v>
      </c>
      <c r="G170" s="61">
        <f>3.6247 * CHOOSE(CONTROL!$C$19, $C$13, 100%, $E$13)</f>
        <v>3.6246999999999998</v>
      </c>
      <c r="H170" s="61">
        <f>5.7375* CHOOSE(CONTROL!$C$19, $C$13, 100%, $E$13)</f>
        <v>5.7374999999999998</v>
      </c>
      <c r="I170" s="61">
        <f>5.7377 * CHOOSE(CONTROL!$C$19, $C$13, 100%, $E$13)</f>
        <v>5.7377000000000002</v>
      </c>
      <c r="J170" s="61">
        <f>3.6245 * CHOOSE(CONTROL!$C$19, $C$13, 100%, $E$13)</f>
        <v>3.6244999999999998</v>
      </c>
      <c r="K170" s="61">
        <f>3.6247 * CHOOSE(CONTROL!$C$19, $C$13, 100%, $E$13)</f>
        <v>3.6246999999999998</v>
      </c>
    </row>
    <row r="171" spans="1:11" ht="15">
      <c r="A171" s="13">
        <v>47058</v>
      </c>
      <c r="B171" s="60">
        <f>3.5022 * CHOOSE(CONTROL!$C$19, $C$13, 100%, $E$13)</f>
        <v>3.5022000000000002</v>
      </c>
      <c r="C171" s="60">
        <f>3.5022 * CHOOSE(CONTROL!$C$19, $C$13, 100%, $E$13)</f>
        <v>3.5022000000000002</v>
      </c>
      <c r="D171" s="60">
        <f>3.5174 * CHOOSE(CONTROL!$C$19, $C$13, 100%, $E$13)</f>
        <v>3.5173999999999999</v>
      </c>
      <c r="E171" s="61">
        <f>3.6375 * CHOOSE(CONTROL!$C$19, $C$13, 100%, $E$13)</f>
        <v>3.6375000000000002</v>
      </c>
      <c r="F171" s="61">
        <f>3.6375 * CHOOSE(CONTROL!$C$19, $C$13, 100%, $E$13)</f>
        <v>3.6375000000000002</v>
      </c>
      <c r="G171" s="61">
        <f>3.6376 * CHOOSE(CONTROL!$C$19, $C$13, 100%, $E$13)</f>
        <v>3.6375999999999999</v>
      </c>
      <c r="H171" s="61">
        <f>5.7494* CHOOSE(CONTROL!$C$19, $C$13, 100%, $E$13)</f>
        <v>5.7493999999999996</v>
      </c>
      <c r="I171" s="61">
        <f>5.7496 * CHOOSE(CONTROL!$C$19, $C$13, 100%, $E$13)</f>
        <v>5.7496</v>
      </c>
      <c r="J171" s="61">
        <f>3.6375 * CHOOSE(CONTROL!$C$19, $C$13, 100%, $E$13)</f>
        <v>3.6375000000000002</v>
      </c>
      <c r="K171" s="61">
        <f>3.6376 * CHOOSE(CONTROL!$C$19, $C$13, 100%, $E$13)</f>
        <v>3.6375999999999999</v>
      </c>
    </row>
    <row r="172" spans="1:11" ht="15">
      <c r="A172" s="13">
        <v>47088</v>
      </c>
      <c r="B172" s="60">
        <f>3.5022 * CHOOSE(CONTROL!$C$19, $C$13, 100%, $E$13)</f>
        <v>3.5022000000000002</v>
      </c>
      <c r="C172" s="60">
        <f>3.5022 * CHOOSE(CONTROL!$C$19, $C$13, 100%, $E$13)</f>
        <v>3.5022000000000002</v>
      </c>
      <c r="D172" s="60">
        <f>3.5174 * CHOOSE(CONTROL!$C$19, $C$13, 100%, $E$13)</f>
        <v>3.5173999999999999</v>
      </c>
      <c r="E172" s="61">
        <f>3.6104 * CHOOSE(CONTROL!$C$19, $C$13, 100%, $E$13)</f>
        <v>3.6103999999999998</v>
      </c>
      <c r="F172" s="61">
        <f>3.6104 * CHOOSE(CONTROL!$C$19, $C$13, 100%, $E$13)</f>
        <v>3.6103999999999998</v>
      </c>
      <c r="G172" s="61">
        <f>3.6106 * CHOOSE(CONTROL!$C$19, $C$13, 100%, $E$13)</f>
        <v>3.6105999999999998</v>
      </c>
      <c r="H172" s="61">
        <f>5.7614* CHOOSE(CONTROL!$C$19, $C$13, 100%, $E$13)</f>
        <v>5.7614000000000001</v>
      </c>
      <c r="I172" s="61">
        <f>5.7616 * CHOOSE(CONTROL!$C$19, $C$13, 100%, $E$13)</f>
        <v>5.7615999999999996</v>
      </c>
      <c r="J172" s="61">
        <f>3.6104 * CHOOSE(CONTROL!$C$19, $C$13, 100%, $E$13)</f>
        <v>3.6103999999999998</v>
      </c>
      <c r="K172" s="61">
        <f>3.6106 * CHOOSE(CONTROL!$C$19, $C$13, 100%, $E$13)</f>
        <v>3.6105999999999998</v>
      </c>
    </row>
    <row r="173" spans="1:11" ht="15">
      <c r="A173" s="13">
        <v>47119</v>
      </c>
      <c r="B173" s="60">
        <f>3.5334 * CHOOSE(CONTROL!$C$19, $C$13, 100%, $E$13)</f>
        <v>3.5333999999999999</v>
      </c>
      <c r="C173" s="60">
        <f>3.5334 * CHOOSE(CONTROL!$C$19, $C$13, 100%, $E$13)</f>
        <v>3.5333999999999999</v>
      </c>
      <c r="D173" s="60">
        <f>3.5486 * CHOOSE(CONTROL!$C$19, $C$13, 100%, $E$13)</f>
        <v>3.5486</v>
      </c>
      <c r="E173" s="61">
        <f>3.6805 * CHOOSE(CONTROL!$C$19, $C$13, 100%, $E$13)</f>
        <v>3.6804999999999999</v>
      </c>
      <c r="F173" s="61">
        <f>3.6805 * CHOOSE(CONTROL!$C$19, $C$13, 100%, $E$13)</f>
        <v>3.6804999999999999</v>
      </c>
      <c r="G173" s="61">
        <f>3.6806 * CHOOSE(CONTROL!$C$19, $C$13, 100%, $E$13)</f>
        <v>3.6806000000000001</v>
      </c>
      <c r="H173" s="61">
        <f>5.7734* CHOOSE(CONTROL!$C$19, $C$13, 100%, $E$13)</f>
        <v>5.7733999999999996</v>
      </c>
      <c r="I173" s="61">
        <f>5.7736 * CHOOSE(CONTROL!$C$19, $C$13, 100%, $E$13)</f>
        <v>5.7736000000000001</v>
      </c>
      <c r="J173" s="61">
        <f>3.6805 * CHOOSE(CONTROL!$C$19, $C$13, 100%, $E$13)</f>
        <v>3.6804999999999999</v>
      </c>
      <c r="K173" s="61">
        <f>3.6806 * CHOOSE(CONTROL!$C$19, $C$13, 100%, $E$13)</f>
        <v>3.6806000000000001</v>
      </c>
    </row>
    <row r="174" spans="1:11" ht="15">
      <c r="A174" s="13">
        <v>47150</v>
      </c>
      <c r="B174" s="60">
        <f>3.5303 * CHOOSE(CONTROL!$C$19, $C$13, 100%, $E$13)</f>
        <v>3.5303</v>
      </c>
      <c r="C174" s="60">
        <f>3.5303 * CHOOSE(CONTROL!$C$19, $C$13, 100%, $E$13)</f>
        <v>3.5303</v>
      </c>
      <c r="D174" s="60">
        <f>3.5455 * CHOOSE(CONTROL!$C$19, $C$13, 100%, $E$13)</f>
        <v>3.5455000000000001</v>
      </c>
      <c r="E174" s="61">
        <f>3.6258 * CHOOSE(CONTROL!$C$19, $C$13, 100%, $E$13)</f>
        <v>3.6257999999999999</v>
      </c>
      <c r="F174" s="61">
        <f>3.6258 * CHOOSE(CONTROL!$C$19, $C$13, 100%, $E$13)</f>
        <v>3.6257999999999999</v>
      </c>
      <c r="G174" s="61">
        <f>3.626 * CHOOSE(CONTROL!$C$19, $C$13, 100%, $E$13)</f>
        <v>3.6259999999999999</v>
      </c>
      <c r="H174" s="61">
        <f>5.7854* CHOOSE(CONTROL!$C$19, $C$13, 100%, $E$13)</f>
        <v>5.7854000000000001</v>
      </c>
      <c r="I174" s="61">
        <f>5.7856 * CHOOSE(CONTROL!$C$19, $C$13, 100%, $E$13)</f>
        <v>5.7855999999999996</v>
      </c>
      <c r="J174" s="61">
        <f>3.6258 * CHOOSE(CONTROL!$C$19, $C$13, 100%, $E$13)</f>
        <v>3.6257999999999999</v>
      </c>
      <c r="K174" s="61">
        <f>3.626 * CHOOSE(CONTROL!$C$19, $C$13, 100%, $E$13)</f>
        <v>3.6259999999999999</v>
      </c>
    </row>
    <row r="175" spans="1:11" ht="15">
      <c r="A175" s="13">
        <v>47178</v>
      </c>
      <c r="B175" s="60">
        <f>3.5273 * CHOOSE(CONTROL!$C$19, $C$13, 100%, $E$13)</f>
        <v>3.5272999999999999</v>
      </c>
      <c r="C175" s="60">
        <f>3.5273 * CHOOSE(CONTROL!$C$19, $C$13, 100%, $E$13)</f>
        <v>3.5272999999999999</v>
      </c>
      <c r="D175" s="60">
        <f>3.5425 * CHOOSE(CONTROL!$C$19, $C$13, 100%, $E$13)</f>
        <v>3.5425</v>
      </c>
      <c r="E175" s="61">
        <f>3.6651 * CHOOSE(CONTROL!$C$19, $C$13, 100%, $E$13)</f>
        <v>3.6650999999999998</v>
      </c>
      <c r="F175" s="61">
        <f>3.6651 * CHOOSE(CONTROL!$C$19, $C$13, 100%, $E$13)</f>
        <v>3.6650999999999998</v>
      </c>
      <c r="G175" s="61">
        <f>3.6653 * CHOOSE(CONTROL!$C$19, $C$13, 100%, $E$13)</f>
        <v>3.6652999999999998</v>
      </c>
      <c r="H175" s="61">
        <f>5.7975* CHOOSE(CONTROL!$C$19, $C$13, 100%, $E$13)</f>
        <v>5.7975000000000003</v>
      </c>
      <c r="I175" s="61">
        <f>5.7977 * CHOOSE(CONTROL!$C$19, $C$13, 100%, $E$13)</f>
        <v>5.7976999999999999</v>
      </c>
      <c r="J175" s="61">
        <f>3.6651 * CHOOSE(CONTROL!$C$19, $C$13, 100%, $E$13)</f>
        <v>3.6650999999999998</v>
      </c>
      <c r="K175" s="61">
        <f>3.6653 * CHOOSE(CONTROL!$C$19, $C$13, 100%, $E$13)</f>
        <v>3.6652999999999998</v>
      </c>
    </row>
    <row r="176" spans="1:11" ht="15">
      <c r="A176" s="13">
        <v>47209</v>
      </c>
      <c r="B176" s="60">
        <f>3.5245 * CHOOSE(CONTROL!$C$19, $C$13, 100%, $E$13)</f>
        <v>3.5245000000000002</v>
      </c>
      <c r="C176" s="60">
        <f>3.5245 * CHOOSE(CONTROL!$C$19, $C$13, 100%, $E$13)</f>
        <v>3.5245000000000002</v>
      </c>
      <c r="D176" s="60">
        <f>3.5397 * CHOOSE(CONTROL!$C$19, $C$13, 100%, $E$13)</f>
        <v>3.5396999999999998</v>
      </c>
      <c r="E176" s="61">
        <f>3.7054 * CHOOSE(CONTROL!$C$19, $C$13, 100%, $E$13)</f>
        <v>3.7054</v>
      </c>
      <c r="F176" s="61">
        <f>3.7054 * CHOOSE(CONTROL!$C$19, $C$13, 100%, $E$13)</f>
        <v>3.7054</v>
      </c>
      <c r="G176" s="61">
        <f>3.7055 * CHOOSE(CONTROL!$C$19, $C$13, 100%, $E$13)</f>
        <v>3.7054999999999998</v>
      </c>
      <c r="H176" s="61">
        <f>5.8096* CHOOSE(CONTROL!$C$19, $C$13, 100%, $E$13)</f>
        <v>5.8095999999999997</v>
      </c>
      <c r="I176" s="61">
        <f>5.8098 * CHOOSE(CONTROL!$C$19, $C$13, 100%, $E$13)</f>
        <v>5.8098000000000001</v>
      </c>
      <c r="J176" s="61">
        <f>3.7054 * CHOOSE(CONTROL!$C$19, $C$13, 100%, $E$13)</f>
        <v>3.7054</v>
      </c>
      <c r="K176" s="61">
        <f>3.7055 * CHOOSE(CONTROL!$C$19, $C$13, 100%, $E$13)</f>
        <v>3.7054999999999998</v>
      </c>
    </row>
    <row r="177" spans="1:11" ht="15">
      <c r="A177" s="13">
        <v>47239</v>
      </c>
      <c r="B177" s="60">
        <f>3.5245 * CHOOSE(CONTROL!$C$19, $C$13, 100%, $E$13)</f>
        <v>3.5245000000000002</v>
      </c>
      <c r="C177" s="60">
        <f>3.5245 * CHOOSE(CONTROL!$C$19, $C$13, 100%, $E$13)</f>
        <v>3.5245000000000002</v>
      </c>
      <c r="D177" s="60">
        <f>3.5549 * CHOOSE(CONTROL!$C$19, $C$13, 100%, $E$13)</f>
        <v>3.5548999999999999</v>
      </c>
      <c r="E177" s="61">
        <f>3.722 * CHOOSE(CONTROL!$C$19, $C$13, 100%, $E$13)</f>
        <v>3.722</v>
      </c>
      <c r="F177" s="61">
        <f>3.722 * CHOOSE(CONTROL!$C$19, $C$13, 100%, $E$13)</f>
        <v>3.722</v>
      </c>
      <c r="G177" s="61">
        <f>3.7239 * CHOOSE(CONTROL!$C$19, $C$13, 100%, $E$13)</f>
        <v>3.7239</v>
      </c>
      <c r="H177" s="61">
        <f>5.8217* CHOOSE(CONTROL!$C$19, $C$13, 100%, $E$13)</f>
        <v>5.8216999999999999</v>
      </c>
      <c r="I177" s="61">
        <f>5.8236 * CHOOSE(CONTROL!$C$19, $C$13, 100%, $E$13)</f>
        <v>5.8235999999999999</v>
      </c>
      <c r="J177" s="61">
        <f>3.722 * CHOOSE(CONTROL!$C$19, $C$13, 100%, $E$13)</f>
        <v>3.722</v>
      </c>
      <c r="K177" s="61">
        <f>3.7239 * CHOOSE(CONTROL!$C$19, $C$13, 100%, $E$13)</f>
        <v>3.7239</v>
      </c>
    </row>
    <row r="178" spans="1:11" ht="15">
      <c r="A178" s="13">
        <v>47270</v>
      </c>
      <c r="B178" s="60">
        <f>3.5306 * CHOOSE(CONTROL!$C$19, $C$13, 100%, $E$13)</f>
        <v>3.5306000000000002</v>
      </c>
      <c r="C178" s="60">
        <f>3.5306 * CHOOSE(CONTROL!$C$19, $C$13, 100%, $E$13)</f>
        <v>3.5306000000000002</v>
      </c>
      <c r="D178" s="60">
        <f>3.561 * CHOOSE(CONTROL!$C$19, $C$13, 100%, $E$13)</f>
        <v>3.5609999999999999</v>
      </c>
      <c r="E178" s="61">
        <f>3.7096 * CHOOSE(CONTROL!$C$19, $C$13, 100%, $E$13)</f>
        <v>3.7096</v>
      </c>
      <c r="F178" s="61">
        <f>3.7096 * CHOOSE(CONTROL!$C$19, $C$13, 100%, $E$13)</f>
        <v>3.7096</v>
      </c>
      <c r="G178" s="61">
        <f>3.7115 * CHOOSE(CONTROL!$C$19, $C$13, 100%, $E$13)</f>
        <v>3.7115</v>
      </c>
      <c r="H178" s="61">
        <f>5.8338* CHOOSE(CONTROL!$C$19, $C$13, 100%, $E$13)</f>
        <v>5.8338000000000001</v>
      </c>
      <c r="I178" s="61">
        <f>5.8357 * CHOOSE(CONTROL!$C$19, $C$13, 100%, $E$13)</f>
        <v>5.8357000000000001</v>
      </c>
      <c r="J178" s="61">
        <f>3.7096 * CHOOSE(CONTROL!$C$19, $C$13, 100%, $E$13)</f>
        <v>3.7096</v>
      </c>
      <c r="K178" s="61">
        <f>3.7115 * CHOOSE(CONTROL!$C$19, $C$13, 100%, $E$13)</f>
        <v>3.7115</v>
      </c>
    </row>
    <row r="179" spans="1:11" ht="15">
      <c r="A179" s="13">
        <v>47300</v>
      </c>
      <c r="B179" s="60">
        <f>3.5897 * CHOOSE(CONTROL!$C$19, $C$13, 100%, $E$13)</f>
        <v>3.5897000000000001</v>
      </c>
      <c r="C179" s="60">
        <f>3.5897 * CHOOSE(CONTROL!$C$19, $C$13, 100%, $E$13)</f>
        <v>3.5897000000000001</v>
      </c>
      <c r="D179" s="60">
        <f>3.6201 * CHOOSE(CONTROL!$C$19, $C$13, 100%, $E$13)</f>
        <v>3.6200999999999999</v>
      </c>
      <c r="E179" s="61">
        <f>3.8261 * CHOOSE(CONTROL!$C$19, $C$13, 100%, $E$13)</f>
        <v>3.8260999999999998</v>
      </c>
      <c r="F179" s="61">
        <f>3.8261 * CHOOSE(CONTROL!$C$19, $C$13, 100%, $E$13)</f>
        <v>3.8260999999999998</v>
      </c>
      <c r="G179" s="61">
        <f>3.828 * CHOOSE(CONTROL!$C$19, $C$13, 100%, $E$13)</f>
        <v>3.8279999999999998</v>
      </c>
      <c r="H179" s="61">
        <f>5.846* CHOOSE(CONTROL!$C$19, $C$13, 100%, $E$13)</f>
        <v>5.8460000000000001</v>
      </c>
      <c r="I179" s="61">
        <f>5.8479 * CHOOSE(CONTROL!$C$19, $C$13, 100%, $E$13)</f>
        <v>5.8479000000000001</v>
      </c>
      <c r="J179" s="61">
        <f>3.8261 * CHOOSE(CONTROL!$C$19, $C$13, 100%, $E$13)</f>
        <v>3.8260999999999998</v>
      </c>
      <c r="K179" s="61">
        <f>3.828 * CHOOSE(CONTROL!$C$19, $C$13, 100%, $E$13)</f>
        <v>3.8279999999999998</v>
      </c>
    </row>
    <row r="180" spans="1:11" ht="15">
      <c r="A180" s="13">
        <v>47331</v>
      </c>
      <c r="B180" s="60">
        <f>3.5964 * CHOOSE(CONTROL!$C$19, $C$13, 100%, $E$13)</f>
        <v>3.5964</v>
      </c>
      <c r="C180" s="60">
        <f>3.5964 * CHOOSE(CONTROL!$C$19, $C$13, 100%, $E$13)</f>
        <v>3.5964</v>
      </c>
      <c r="D180" s="60">
        <f>3.6267 * CHOOSE(CONTROL!$C$19, $C$13, 100%, $E$13)</f>
        <v>3.6267</v>
      </c>
      <c r="E180" s="61">
        <f>3.7807 * CHOOSE(CONTROL!$C$19, $C$13, 100%, $E$13)</f>
        <v>3.7806999999999999</v>
      </c>
      <c r="F180" s="61">
        <f>3.7807 * CHOOSE(CONTROL!$C$19, $C$13, 100%, $E$13)</f>
        <v>3.7806999999999999</v>
      </c>
      <c r="G180" s="61">
        <f>3.7826 * CHOOSE(CONTROL!$C$19, $C$13, 100%, $E$13)</f>
        <v>3.7826</v>
      </c>
      <c r="H180" s="61">
        <f>5.8581* CHOOSE(CONTROL!$C$19, $C$13, 100%, $E$13)</f>
        <v>5.8581000000000003</v>
      </c>
      <c r="I180" s="61">
        <f>5.86 * CHOOSE(CONTROL!$C$19, $C$13, 100%, $E$13)</f>
        <v>5.86</v>
      </c>
      <c r="J180" s="61">
        <f>3.7807 * CHOOSE(CONTROL!$C$19, $C$13, 100%, $E$13)</f>
        <v>3.7806999999999999</v>
      </c>
      <c r="K180" s="61">
        <f>3.7826 * CHOOSE(CONTROL!$C$19, $C$13, 100%, $E$13)</f>
        <v>3.7826</v>
      </c>
    </row>
    <row r="181" spans="1:11" ht="15">
      <c r="A181" s="13">
        <v>47362</v>
      </c>
      <c r="B181" s="60">
        <f>3.5933 * CHOOSE(CONTROL!$C$19, $C$13, 100%, $E$13)</f>
        <v>3.5933000000000002</v>
      </c>
      <c r="C181" s="60">
        <f>3.5933 * CHOOSE(CONTROL!$C$19, $C$13, 100%, $E$13)</f>
        <v>3.5933000000000002</v>
      </c>
      <c r="D181" s="60">
        <f>3.6237 * CHOOSE(CONTROL!$C$19, $C$13, 100%, $E$13)</f>
        <v>3.6236999999999999</v>
      </c>
      <c r="E181" s="61">
        <f>3.773 * CHOOSE(CONTROL!$C$19, $C$13, 100%, $E$13)</f>
        <v>3.7730000000000001</v>
      </c>
      <c r="F181" s="61">
        <f>3.773 * CHOOSE(CONTROL!$C$19, $C$13, 100%, $E$13)</f>
        <v>3.7730000000000001</v>
      </c>
      <c r="G181" s="61">
        <f>3.7749 * CHOOSE(CONTROL!$C$19, $C$13, 100%, $E$13)</f>
        <v>3.7749000000000001</v>
      </c>
      <c r="H181" s="61">
        <f>5.8703* CHOOSE(CONTROL!$C$19, $C$13, 100%, $E$13)</f>
        <v>5.8703000000000003</v>
      </c>
      <c r="I181" s="61">
        <f>5.8723 * CHOOSE(CONTROL!$C$19, $C$13, 100%, $E$13)</f>
        <v>5.8723000000000001</v>
      </c>
      <c r="J181" s="61">
        <f>3.773 * CHOOSE(CONTROL!$C$19, $C$13, 100%, $E$13)</f>
        <v>3.7730000000000001</v>
      </c>
      <c r="K181" s="61">
        <f>3.7749 * CHOOSE(CONTROL!$C$19, $C$13, 100%, $E$13)</f>
        <v>3.7749000000000001</v>
      </c>
    </row>
    <row r="182" spans="1:11" ht="15">
      <c r="A182" s="13">
        <v>47392</v>
      </c>
      <c r="B182" s="60">
        <f>3.587 * CHOOSE(CONTROL!$C$19, $C$13, 100%, $E$13)</f>
        <v>3.5870000000000002</v>
      </c>
      <c r="C182" s="60">
        <f>3.587 * CHOOSE(CONTROL!$C$19, $C$13, 100%, $E$13)</f>
        <v>3.5870000000000002</v>
      </c>
      <c r="D182" s="60">
        <f>3.6021 * CHOOSE(CONTROL!$C$19, $C$13, 100%, $E$13)</f>
        <v>3.6021000000000001</v>
      </c>
      <c r="E182" s="61">
        <f>3.7819 * CHOOSE(CONTROL!$C$19, $C$13, 100%, $E$13)</f>
        <v>3.7818999999999998</v>
      </c>
      <c r="F182" s="61">
        <f>3.7819 * CHOOSE(CONTROL!$C$19, $C$13, 100%, $E$13)</f>
        <v>3.7818999999999998</v>
      </c>
      <c r="G182" s="61">
        <f>3.782 * CHOOSE(CONTROL!$C$19, $C$13, 100%, $E$13)</f>
        <v>3.782</v>
      </c>
      <c r="H182" s="61">
        <f>5.8826* CHOOSE(CONTROL!$C$19, $C$13, 100%, $E$13)</f>
        <v>5.8826000000000001</v>
      </c>
      <c r="I182" s="61">
        <f>5.8828 * CHOOSE(CONTROL!$C$19, $C$13, 100%, $E$13)</f>
        <v>5.8827999999999996</v>
      </c>
      <c r="J182" s="61">
        <f>3.7819 * CHOOSE(CONTROL!$C$19, $C$13, 100%, $E$13)</f>
        <v>3.7818999999999998</v>
      </c>
      <c r="K182" s="61">
        <f>3.782 * CHOOSE(CONTROL!$C$19, $C$13, 100%, $E$13)</f>
        <v>3.782</v>
      </c>
    </row>
    <row r="183" spans="1:11" ht="15">
      <c r="A183" s="13">
        <v>47423</v>
      </c>
      <c r="B183" s="60">
        <f>3.59 * CHOOSE(CONTROL!$C$19, $C$13, 100%, $E$13)</f>
        <v>3.59</v>
      </c>
      <c r="C183" s="60">
        <f>3.59 * CHOOSE(CONTROL!$C$19, $C$13, 100%, $E$13)</f>
        <v>3.59</v>
      </c>
      <c r="D183" s="60">
        <f>3.6052 * CHOOSE(CONTROL!$C$19, $C$13, 100%, $E$13)</f>
        <v>3.6052</v>
      </c>
      <c r="E183" s="61">
        <f>3.7951 * CHOOSE(CONTROL!$C$19, $C$13, 100%, $E$13)</f>
        <v>3.7951000000000001</v>
      </c>
      <c r="F183" s="61">
        <f>3.7951 * CHOOSE(CONTROL!$C$19, $C$13, 100%, $E$13)</f>
        <v>3.7951000000000001</v>
      </c>
      <c r="G183" s="61">
        <f>3.7953 * CHOOSE(CONTROL!$C$19, $C$13, 100%, $E$13)</f>
        <v>3.7953000000000001</v>
      </c>
      <c r="H183" s="61">
        <f>5.8948* CHOOSE(CONTROL!$C$19, $C$13, 100%, $E$13)</f>
        <v>5.8948</v>
      </c>
      <c r="I183" s="61">
        <f>5.895 * CHOOSE(CONTROL!$C$19, $C$13, 100%, $E$13)</f>
        <v>5.8949999999999996</v>
      </c>
      <c r="J183" s="61">
        <f>3.7951 * CHOOSE(CONTROL!$C$19, $C$13, 100%, $E$13)</f>
        <v>3.7951000000000001</v>
      </c>
      <c r="K183" s="61">
        <f>3.7953 * CHOOSE(CONTROL!$C$19, $C$13, 100%, $E$13)</f>
        <v>3.7953000000000001</v>
      </c>
    </row>
    <row r="184" spans="1:11" ht="15">
      <c r="A184" s="13">
        <v>47453</v>
      </c>
      <c r="B184" s="60">
        <f>3.59 * CHOOSE(CONTROL!$C$19, $C$13, 100%, $E$13)</f>
        <v>3.59</v>
      </c>
      <c r="C184" s="60">
        <f>3.59 * CHOOSE(CONTROL!$C$19, $C$13, 100%, $E$13)</f>
        <v>3.59</v>
      </c>
      <c r="D184" s="60">
        <f>3.6052 * CHOOSE(CONTROL!$C$19, $C$13, 100%, $E$13)</f>
        <v>3.6052</v>
      </c>
      <c r="E184" s="61">
        <f>3.7673 * CHOOSE(CONTROL!$C$19, $C$13, 100%, $E$13)</f>
        <v>3.7673000000000001</v>
      </c>
      <c r="F184" s="61">
        <f>3.7673 * CHOOSE(CONTROL!$C$19, $C$13, 100%, $E$13)</f>
        <v>3.7673000000000001</v>
      </c>
      <c r="G184" s="61">
        <f>3.7675 * CHOOSE(CONTROL!$C$19, $C$13, 100%, $E$13)</f>
        <v>3.7675000000000001</v>
      </c>
      <c r="H184" s="61">
        <f>5.9071* CHOOSE(CONTROL!$C$19, $C$13, 100%, $E$13)</f>
        <v>5.9070999999999998</v>
      </c>
      <c r="I184" s="61">
        <f>5.9073 * CHOOSE(CONTROL!$C$19, $C$13, 100%, $E$13)</f>
        <v>5.9073000000000002</v>
      </c>
      <c r="J184" s="61">
        <f>3.7673 * CHOOSE(CONTROL!$C$19, $C$13, 100%, $E$13)</f>
        <v>3.7673000000000001</v>
      </c>
      <c r="K184" s="61">
        <f>3.7675 * CHOOSE(CONTROL!$C$19, $C$13, 100%, $E$13)</f>
        <v>3.7675000000000001</v>
      </c>
    </row>
    <row r="185" spans="1:11" ht="15">
      <c r="A185" s="13">
        <v>47484</v>
      </c>
      <c r="B185" s="60">
        <f>3.6254 * CHOOSE(CONTROL!$C$19, $C$13, 100%, $E$13)</f>
        <v>3.6254</v>
      </c>
      <c r="C185" s="60">
        <f>3.6254 * CHOOSE(CONTROL!$C$19, $C$13, 100%, $E$13)</f>
        <v>3.6254</v>
      </c>
      <c r="D185" s="60">
        <f>3.6406 * CHOOSE(CONTROL!$C$19, $C$13, 100%, $E$13)</f>
        <v>3.6406000000000001</v>
      </c>
      <c r="E185" s="61">
        <f>3.8175 * CHOOSE(CONTROL!$C$19, $C$13, 100%, $E$13)</f>
        <v>3.8174999999999999</v>
      </c>
      <c r="F185" s="61">
        <f>3.8175 * CHOOSE(CONTROL!$C$19, $C$13, 100%, $E$13)</f>
        <v>3.8174999999999999</v>
      </c>
      <c r="G185" s="61">
        <f>3.8177 * CHOOSE(CONTROL!$C$19, $C$13, 100%, $E$13)</f>
        <v>3.8176999999999999</v>
      </c>
      <c r="H185" s="61">
        <f>5.9194* CHOOSE(CONTROL!$C$19, $C$13, 100%, $E$13)</f>
        <v>5.9194000000000004</v>
      </c>
      <c r="I185" s="61">
        <f>5.9196 * CHOOSE(CONTROL!$C$19, $C$13, 100%, $E$13)</f>
        <v>5.9196</v>
      </c>
      <c r="J185" s="61">
        <f>3.8175 * CHOOSE(CONTROL!$C$19, $C$13, 100%, $E$13)</f>
        <v>3.8174999999999999</v>
      </c>
      <c r="K185" s="61">
        <f>3.8177 * CHOOSE(CONTROL!$C$19, $C$13, 100%, $E$13)</f>
        <v>3.8176999999999999</v>
      </c>
    </row>
    <row r="186" spans="1:11" ht="15">
      <c r="A186" s="13">
        <v>47515</v>
      </c>
      <c r="B186" s="60">
        <f>3.6224 * CHOOSE(CONTROL!$C$19, $C$13, 100%, $E$13)</f>
        <v>3.6223999999999998</v>
      </c>
      <c r="C186" s="60">
        <f>3.6224 * CHOOSE(CONTROL!$C$19, $C$13, 100%, $E$13)</f>
        <v>3.6223999999999998</v>
      </c>
      <c r="D186" s="60">
        <f>3.6375 * CHOOSE(CONTROL!$C$19, $C$13, 100%, $E$13)</f>
        <v>3.6375000000000002</v>
      </c>
      <c r="E186" s="61">
        <f>3.7611 * CHOOSE(CONTROL!$C$19, $C$13, 100%, $E$13)</f>
        <v>3.7610999999999999</v>
      </c>
      <c r="F186" s="61">
        <f>3.7611 * CHOOSE(CONTROL!$C$19, $C$13, 100%, $E$13)</f>
        <v>3.7610999999999999</v>
      </c>
      <c r="G186" s="61">
        <f>3.7612 * CHOOSE(CONTROL!$C$19, $C$13, 100%, $E$13)</f>
        <v>3.7612000000000001</v>
      </c>
      <c r="H186" s="61">
        <f>5.9318* CHOOSE(CONTROL!$C$19, $C$13, 100%, $E$13)</f>
        <v>5.9318</v>
      </c>
      <c r="I186" s="61">
        <f>5.9319 * CHOOSE(CONTROL!$C$19, $C$13, 100%, $E$13)</f>
        <v>5.9318999999999997</v>
      </c>
      <c r="J186" s="61">
        <f>3.7611 * CHOOSE(CONTROL!$C$19, $C$13, 100%, $E$13)</f>
        <v>3.7610999999999999</v>
      </c>
      <c r="K186" s="61">
        <f>3.7612 * CHOOSE(CONTROL!$C$19, $C$13, 100%, $E$13)</f>
        <v>3.7612000000000001</v>
      </c>
    </row>
    <row r="187" spans="1:11" ht="15">
      <c r="A187" s="13">
        <v>47543</v>
      </c>
      <c r="B187" s="60">
        <f>3.6193 * CHOOSE(CONTROL!$C$19, $C$13, 100%, $E$13)</f>
        <v>3.6193</v>
      </c>
      <c r="C187" s="60">
        <f>3.6193 * CHOOSE(CONTROL!$C$19, $C$13, 100%, $E$13)</f>
        <v>3.6193</v>
      </c>
      <c r="D187" s="60">
        <f>3.6345 * CHOOSE(CONTROL!$C$19, $C$13, 100%, $E$13)</f>
        <v>3.6345000000000001</v>
      </c>
      <c r="E187" s="61">
        <f>3.8018 * CHOOSE(CONTROL!$C$19, $C$13, 100%, $E$13)</f>
        <v>3.8018000000000001</v>
      </c>
      <c r="F187" s="61">
        <f>3.8018 * CHOOSE(CONTROL!$C$19, $C$13, 100%, $E$13)</f>
        <v>3.8018000000000001</v>
      </c>
      <c r="G187" s="61">
        <f>3.802 * CHOOSE(CONTROL!$C$19, $C$13, 100%, $E$13)</f>
        <v>3.802</v>
      </c>
      <c r="H187" s="61">
        <f>5.9441* CHOOSE(CONTROL!$C$19, $C$13, 100%, $E$13)</f>
        <v>5.9440999999999997</v>
      </c>
      <c r="I187" s="61">
        <f>5.9443 * CHOOSE(CONTROL!$C$19, $C$13, 100%, $E$13)</f>
        <v>5.9443000000000001</v>
      </c>
      <c r="J187" s="61">
        <f>3.8018 * CHOOSE(CONTROL!$C$19, $C$13, 100%, $E$13)</f>
        <v>3.8018000000000001</v>
      </c>
      <c r="K187" s="61">
        <f>3.802 * CHOOSE(CONTROL!$C$19, $C$13, 100%, $E$13)</f>
        <v>3.802</v>
      </c>
    </row>
    <row r="188" spans="1:11" ht="15">
      <c r="A188" s="13">
        <v>47574</v>
      </c>
      <c r="B188" s="60">
        <f>3.6166 * CHOOSE(CONTROL!$C$19, $C$13, 100%, $E$13)</f>
        <v>3.6166</v>
      </c>
      <c r="C188" s="60">
        <f>3.6166 * CHOOSE(CONTROL!$C$19, $C$13, 100%, $E$13)</f>
        <v>3.6166</v>
      </c>
      <c r="D188" s="60">
        <f>3.6318 * CHOOSE(CONTROL!$C$19, $C$13, 100%, $E$13)</f>
        <v>3.6318000000000001</v>
      </c>
      <c r="E188" s="61">
        <f>3.8436 * CHOOSE(CONTROL!$C$19, $C$13, 100%, $E$13)</f>
        <v>3.8435999999999999</v>
      </c>
      <c r="F188" s="61">
        <f>3.8436 * CHOOSE(CONTROL!$C$19, $C$13, 100%, $E$13)</f>
        <v>3.8435999999999999</v>
      </c>
      <c r="G188" s="61">
        <f>3.8437 * CHOOSE(CONTROL!$C$19, $C$13, 100%, $E$13)</f>
        <v>3.8437000000000001</v>
      </c>
      <c r="H188" s="61">
        <f>5.9565* CHOOSE(CONTROL!$C$19, $C$13, 100%, $E$13)</f>
        <v>5.9565000000000001</v>
      </c>
      <c r="I188" s="61">
        <f>5.9567 * CHOOSE(CONTROL!$C$19, $C$13, 100%, $E$13)</f>
        <v>5.9566999999999997</v>
      </c>
      <c r="J188" s="61">
        <f>3.8436 * CHOOSE(CONTROL!$C$19, $C$13, 100%, $E$13)</f>
        <v>3.8435999999999999</v>
      </c>
      <c r="K188" s="61">
        <f>3.8437 * CHOOSE(CONTROL!$C$19, $C$13, 100%, $E$13)</f>
        <v>3.8437000000000001</v>
      </c>
    </row>
    <row r="189" spans="1:11" ht="15">
      <c r="A189" s="13">
        <v>47604</v>
      </c>
      <c r="B189" s="60">
        <f>3.6166 * CHOOSE(CONTROL!$C$19, $C$13, 100%, $E$13)</f>
        <v>3.6166</v>
      </c>
      <c r="C189" s="60">
        <f>3.6166 * CHOOSE(CONTROL!$C$19, $C$13, 100%, $E$13)</f>
        <v>3.6166</v>
      </c>
      <c r="D189" s="60">
        <f>3.647 * CHOOSE(CONTROL!$C$19, $C$13, 100%, $E$13)</f>
        <v>3.6469999999999998</v>
      </c>
      <c r="E189" s="61">
        <f>3.8608 * CHOOSE(CONTROL!$C$19, $C$13, 100%, $E$13)</f>
        <v>3.8607999999999998</v>
      </c>
      <c r="F189" s="61">
        <f>3.8608 * CHOOSE(CONTROL!$C$19, $C$13, 100%, $E$13)</f>
        <v>3.8607999999999998</v>
      </c>
      <c r="G189" s="61">
        <f>3.8627 * CHOOSE(CONTROL!$C$19, $C$13, 100%, $E$13)</f>
        <v>3.8626999999999998</v>
      </c>
      <c r="H189" s="61">
        <f>5.9689* CHOOSE(CONTROL!$C$19, $C$13, 100%, $E$13)</f>
        <v>5.9688999999999997</v>
      </c>
      <c r="I189" s="61">
        <f>5.9708 * CHOOSE(CONTROL!$C$19, $C$13, 100%, $E$13)</f>
        <v>5.9707999999999997</v>
      </c>
      <c r="J189" s="61">
        <f>3.8608 * CHOOSE(CONTROL!$C$19, $C$13, 100%, $E$13)</f>
        <v>3.8607999999999998</v>
      </c>
      <c r="K189" s="61">
        <f>3.8627 * CHOOSE(CONTROL!$C$19, $C$13, 100%, $E$13)</f>
        <v>3.8626999999999998</v>
      </c>
    </row>
    <row r="190" spans="1:11" ht="15">
      <c r="A190" s="13">
        <v>47635</v>
      </c>
      <c r="B190" s="60">
        <f>3.6227 * CHOOSE(CONTROL!$C$19, $C$13, 100%, $E$13)</f>
        <v>3.6227</v>
      </c>
      <c r="C190" s="60">
        <f>3.6227 * CHOOSE(CONTROL!$C$19, $C$13, 100%, $E$13)</f>
        <v>3.6227</v>
      </c>
      <c r="D190" s="60">
        <f>3.6531 * CHOOSE(CONTROL!$C$19, $C$13, 100%, $E$13)</f>
        <v>3.6530999999999998</v>
      </c>
      <c r="E190" s="61">
        <f>3.8478 * CHOOSE(CONTROL!$C$19, $C$13, 100%, $E$13)</f>
        <v>3.8477999999999999</v>
      </c>
      <c r="F190" s="61">
        <f>3.8478 * CHOOSE(CONTROL!$C$19, $C$13, 100%, $E$13)</f>
        <v>3.8477999999999999</v>
      </c>
      <c r="G190" s="61">
        <f>3.8497 * CHOOSE(CONTROL!$C$19, $C$13, 100%, $E$13)</f>
        <v>3.8496999999999999</v>
      </c>
      <c r="H190" s="61">
        <f>5.9813* CHOOSE(CONTROL!$C$19, $C$13, 100%, $E$13)</f>
        <v>5.9813000000000001</v>
      </c>
      <c r="I190" s="61">
        <f>5.9832 * CHOOSE(CONTROL!$C$19, $C$13, 100%, $E$13)</f>
        <v>5.9832000000000001</v>
      </c>
      <c r="J190" s="61">
        <f>3.8478 * CHOOSE(CONTROL!$C$19, $C$13, 100%, $E$13)</f>
        <v>3.8477999999999999</v>
      </c>
      <c r="K190" s="61">
        <f>3.8497 * CHOOSE(CONTROL!$C$19, $C$13, 100%, $E$13)</f>
        <v>3.8496999999999999</v>
      </c>
    </row>
    <row r="191" spans="1:11" ht="15">
      <c r="A191" s="13">
        <v>47665</v>
      </c>
      <c r="B191" s="60">
        <f>3.6908 * CHOOSE(CONTROL!$C$19, $C$13, 100%, $E$13)</f>
        <v>3.6907999999999999</v>
      </c>
      <c r="C191" s="60">
        <f>3.6908 * CHOOSE(CONTROL!$C$19, $C$13, 100%, $E$13)</f>
        <v>3.6907999999999999</v>
      </c>
      <c r="D191" s="60">
        <f>3.7212 * CHOOSE(CONTROL!$C$19, $C$13, 100%, $E$13)</f>
        <v>3.7212000000000001</v>
      </c>
      <c r="E191" s="61">
        <f>3.9043 * CHOOSE(CONTROL!$C$19, $C$13, 100%, $E$13)</f>
        <v>3.9043000000000001</v>
      </c>
      <c r="F191" s="61">
        <f>3.9043 * CHOOSE(CONTROL!$C$19, $C$13, 100%, $E$13)</f>
        <v>3.9043000000000001</v>
      </c>
      <c r="G191" s="61">
        <f>3.9062 * CHOOSE(CONTROL!$C$19, $C$13, 100%, $E$13)</f>
        <v>3.9062000000000001</v>
      </c>
      <c r="H191" s="61">
        <f>5.9938* CHOOSE(CONTROL!$C$19, $C$13, 100%, $E$13)</f>
        <v>5.9938000000000002</v>
      </c>
      <c r="I191" s="61">
        <f>5.9957 * CHOOSE(CONTROL!$C$19, $C$13, 100%, $E$13)</f>
        <v>5.9957000000000003</v>
      </c>
      <c r="J191" s="61">
        <f>3.9043 * CHOOSE(CONTROL!$C$19, $C$13, 100%, $E$13)</f>
        <v>3.9043000000000001</v>
      </c>
      <c r="K191" s="61">
        <f>3.9062 * CHOOSE(CONTROL!$C$19, $C$13, 100%, $E$13)</f>
        <v>3.9062000000000001</v>
      </c>
    </row>
    <row r="192" spans="1:11" ht="15">
      <c r="A192" s="13">
        <v>47696</v>
      </c>
      <c r="B192" s="60">
        <f>3.6975 * CHOOSE(CONTROL!$C$19, $C$13, 100%, $E$13)</f>
        <v>3.6974999999999998</v>
      </c>
      <c r="C192" s="60">
        <f>3.6975 * CHOOSE(CONTROL!$C$19, $C$13, 100%, $E$13)</f>
        <v>3.6974999999999998</v>
      </c>
      <c r="D192" s="60">
        <f>3.7279 * CHOOSE(CONTROL!$C$19, $C$13, 100%, $E$13)</f>
        <v>3.7279</v>
      </c>
      <c r="E192" s="61">
        <f>3.8572 * CHOOSE(CONTROL!$C$19, $C$13, 100%, $E$13)</f>
        <v>3.8572000000000002</v>
      </c>
      <c r="F192" s="61">
        <f>3.8572 * CHOOSE(CONTROL!$C$19, $C$13, 100%, $E$13)</f>
        <v>3.8572000000000002</v>
      </c>
      <c r="G192" s="61">
        <f>3.8591 * CHOOSE(CONTROL!$C$19, $C$13, 100%, $E$13)</f>
        <v>3.8591000000000002</v>
      </c>
      <c r="H192" s="61">
        <f>6.0063* CHOOSE(CONTROL!$C$19, $C$13, 100%, $E$13)</f>
        <v>6.0063000000000004</v>
      </c>
      <c r="I192" s="61">
        <f>6.0082 * CHOOSE(CONTROL!$C$19, $C$13, 100%, $E$13)</f>
        <v>6.0082000000000004</v>
      </c>
      <c r="J192" s="61">
        <f>3.8572 * CHOOSE(CONTROL!$C$19, $C$13, 100%, $E$13)</f>
        <v>3.8572000000000002</v>
      </c>
      <c r="K192" s="61">
        <f>3.8591 * CHOOSE(CONTROL!$C$19, $C$13, 100%, $E$13)</f>
        <v>3.8591000000000002</v>
      </c>
    </row>
    <row r="193" spans="1:11" ht="15">
      <c r="A193" s="13">
        <v>47727</v>
      </c>
      <c r="B193" s="60">
        <f>3.6945 * CHOOSE(CONTROL!$C$19, $C$13, 100%, $E$13)</f>
        <v>3.6945000000000001</v>
      </c>
      <c r="C193" s="60">
        <f>3.6945 * CHOOSE(CONTROL!$C$19, $C$13, 100%, $E$13)</f>
        <v>3.6945000000000001</v>
      </c>
      <c r="D193" s="60">
        <f>3.7248 * CHOOSE(CONTROL!$C$19, $C$13, 100%, $E$13)</f>
        <v>3.7248000000000001</v>
      </c>
      <c r="E193" s="61">
        <f>3.8493 * CHOOSE(CONTROL!$C$19, $C$13, 100%, $E$13)</f>
        <v>3.8492999999999999</v>
      </c>
      <c r="F193" s="61">
        <f>3.8493 * CHOOSE(CONTROL!$C$19, $C$13, 100%, $E$13)</f>
        <v>3.8492999999999999</v>
      </c>
      <c r="G193" s="61">
        <f>3.8512 * CHOOSE(CONTROL!$C$19, $C$13, 100%, $E$13)</f>
        <v>3.8512</v>
      </c>
      <c r="H193" s="61">
        <f>6.0188* CHOOSE(CONTROL!$C$19, $C$13, 100%, $E$13)</f>
        <v>6.0187999999999997</v>
      </c>
      <c r="I193" s="61">
        <f>6.0207 * CHOOSE(CONTROL!$C$19, $C$13, 100%, $E$13)</f>
        <v>6.0206999999999997</v>
      </c>
      <c r="J193" s="61">
        <f>3.8493 * CHOOSE(CONTROL!$C$19, $C$13, 100%, $E$13)</f>
        <v>3.8492999999999999</v>
      </c>
      <c r="K193" s="61">
        <f>3.8512 * CHOOSE(CONTROL!$C$19, $C$13, 100%, $E$13)</f>
        <v>3.8512</v>
      </c>
    </row>
    <row r="194" spans="1:11" ht="15">
      <c r="A194" s="13">
        <v>47757</v>
      </c>
      <c r="B194" s="60">
        <f>3.6884 * CHOOSE(CONTROL!$C$19, $C$13, 100%, $E$13)</f>
        <v>3.6884000000000001</v>
      </c>
      <c r="C194" s="60">
        <f>3.6884 * CHOOSE(CONTROL!$C$19, $C$13, 100%, $E$13)</f>
        <v>3.6884000000000001</v>
      </c>
      <c r="D194" s="60">
        <f>3.7036 * CHOOSE(CONTROL!$C$19, $C$13, 100%, $E$13)</f>
        <v>3.7035999999999998</v>
      </c>
      <c r="E194" s="61">
        <f>3.8589 * CHOOSE(CONTROL!$C$19, $C$13, 100%, $E$13)</f>
        <v>3.8589000000000002</v>
      </c>
      <c r="F194" s="61">
        <f>3.8589 * CHOOSE(CONTROL!$C$19, $C$13, 100%, $E$13)</f>
        <v>3.8589000000000002</v>
      </c>
      <c r="G194" s="61">
        <f>3.8591 * CHOOSE(CONTROL!$C$19, $C$13, 100%, $E$13)</f>
        <v>3.8591000000000002</v>
      </c>
      <c r="H194" s="61">
        <f>6.0313* CHOOSE(CONTROL!$C$19, $C$13, 100%, $E$13)</f>
        <v>6.0312999999999999</v>
      </c>
      <c r="I194" s="61">
        <f>6.0315 * CHOOSE(CONTROL!$C$19, $C$13, 100%, $E$13)</f>
        <v>6.0315000000000003</v>
      </c>
      <c r="J194" s="61">
        <f>3.8589 * CHOOSE(CONTROL!$C$19, $C$13, 100%, $E$13)</f>
        <v>3.8589000000000002</v>
      </c>
      <c r="K194" s="61">
        <f>3.8591 * CHOOSE(CONTROL!$C$19, $C$13, 100%, $E$13)</f>
        <v>3.8591000000000002</v>
      </c>
    </row>
    <row r="195" spans="1:11" ht="15">
      <c r="A195" s="13">
        <v>47788</v>
      </c>
      <c r="B195" s="60">
        <f>3.6915 * CHOOSE(CONTROL!$C$19, $C$13, 100%, $E$13)</f>
        <v>3.6915</v>
      </c>
      <c r="C195" s="60">
        <f>3.6915 * CHOOSE(CONTROL!$C$19, $C$13, 100%, $E$13)</f>
        <v>3.6915</v>
      </c>
      <c r="D195" s="60">
        <f>3.7066 * CHOOSE(CONTROL!$C$19, $C$13, 100%, $E$13)</f>
        <v>3.7065999999999999</v>
      </c>
      <c r="E195" s="61">
        <f>3.8725 * CHOOSE(CONTROL!$C$19, $C$13, 100%, $E$13)</f>
        <v>3.8725000000000001</v>
      </c>
      <c r="F195" s="61">
        <f>3.8725 * CHOOSE(CONTROL!$C$19, $C$13, 100%, $E$13)</f>
        <v>3.8725000000000001</v>
      </c>
      <c r="G195" s="61">
        <f>3.8727 * CHOOSE(CONTROL!$C$19, $C$13, 100%, $E$13)</f>
        <v>3.8727</v>
      </c>
      <c r="H195" s="61">
        <f>6.0439* CHOOSE(CONTROL!$C$19, $C$13, 100%, $E$13)</f>
        <v>6.0438999999999998</v>
      </c>
      <c r="I195" s="61">
        <f>6.0441 * CHOOSE(CONTROL!$C$19, $C$13, 100%, $E$13)</f>
        <v>6.0441000000000003</v>
      </c>
      <c r="J195" s="61">
        <f>3.8725 * CHOOSE(CONTROL!$C$19, $C$13, 100%, $E$13)</f>
        <v>3.8725000000000001</v>
      </c>
      <c r="K195" s="61">
        <f>3.8727 * CHOOSE(CONTROL!$C$19, $C$13, 100%, $E$13)</f>
        <v>3.8727</v>
      </c>
    </row>
    <row r="196" spans="1:11" ht="15">
      <c r="A196" s="13">
        <v>47818</v>
      </c>
      <c r="B196" s="60">
        <f>3.6915 * CHOOSE(CONTROL!$C$19, $C$13, 100%, $E$13)</f>
        <v>3.6915</v>
      </c>
      <c r="C196" s="60">
        <f>3.6915 * CHOOSE(CONTROL!$C$19, $C$13, 100%, $E$13)</f>
        <v>3.6915</v>
      </c>
      <c r="D196" s="60">
        <f>3.7066 * CHOOSE(CONTROL!$C$19, $C$13, 100%, $E$13)</f>
        <v>3.7065999999999999</v>
      </c>
      <c r="E196" s="61">
        <f>3.8438 * CHOOSE(CONTROL!$C$19, $C$13, 100%, $E$13)</f>
        <v>3.8437999999999999</v>
      </c>
      <c r="F196" s="61">
        <f>3.8438 * CHOOSE(CONTROL!$C$19, $C$13, 100%, $E$13)</f>
        <v>3.8437999999999999</v>
      </c>
      <c r="G196" s="61">
        <f>3.8439 * CHOOSE(CONTROL!$C$19, $C$13, 100%, $E$13)</f>
        <v>3.8439000000000001</v>
      </c>
      <c r="H196" s="61">
        <f>6.0565* CHOOSE(CONTROL!$C$19, $C$13, 100%, $E$13)</f>
        <v>6.0564999999999998</v>
      </c>
      <c r="I196" s="61">
        <f>6.0567 * CHOOSE(CONTROL!$C$19, $C$13, 100%, $E$13)</f>
        <v>6.0567000000000002</v>
      </c>
      <c r="J196" s="61">
        <f>3.8438 * CHOOSE(CONTROL!$C$19, $C$13, 100%, $E$13)</f>
        <v>3.8437999999999999</v>
      </c>
      <c r="K196" s="61">
        <f>3.8439 * CHOOSE(CONTROL!$C$19, $C$13, 100%, $E$13)</f>
        <v>3.8439000000000001</v>
      </c>
    </row>
    <row r="197" spans="1:11" ht="15">
      <c r="A197" s="13">
        <v>47849</v>
      </c>
      <c r="B197" s="60">
        <f>3.7181 * CHOOSE(CONTROL!$C$19, $C$13, 100%, $E$13)</f>
        <v>3.7181000000000002</v>
      </c>
      <c r="C197" s="60">
        <f>3.7181 * CHOOSE(CONTROL!$C$19, $C$13, 100%, $E$13)</f>
        <v>3.7181000000000002</v>
      </c>
      <c r="D197" s="60">
        <f>3.7333 * CHOOSE(CONTROL!$C$19, $C$13, 100%, $E$13)</f>
        <v>3.7332999999999998</v>
      </c>
      <c r="E197" s="61">
        <f>3.9078 * CHOOSE(CONTROL!$C$19, $C$13, 100%, $E$13)</f>
        <v>3.9077999999999999</v>
      </c>
      <c r="F197" s="61">
        <f>3.9078 * CHOOSE(CONTROL!$C$19, $C$13, 100%, $E$13)</f>
        <v>3.9077999999999999</v>
      </c>
      <c r="G197" s="61">
        <f>3.908 * CHOOSE(CONTROL!$C$19, $C$13, 100%, $E$13)</f>
        <v>3.9079999999999999</v>
      </c>
      <c r="H197" s="61">
        <f>6.0691* CHOOSE(CONTROL!$C$19, $C$13, 100%, $E$13)</f>
        <v>6.0690999999999997</v>
      </c>
      <c r="I197" s="61">
        <f>6.0693 * CHOOSE(CONTROL!$C$19, $C$13, 100%, $E$13)</f>
        <v>6.0693000000000001</v>
      </c>
      <c r="J197" s="61">
        <f>3.9078 * CHOOSE(CONTROL!$C$19, $C$13, 100%, $E$13)</f>
        <v>3.9077999999999999</v>
      </c>
      <c r="K197" s="61">
        <f>3.908 * CHOOSE(CONTROL!$C$19, $C$13, 100%, $E$13)</f>
        <v>3.9079999999999999</v>
      </c>
    </row>
    <row r="198" spans="1:11" ht="15">
      <c r="A198" s="13">
        <v>47880</v>
      </c>
      <c r="B198" s="60">
        <f>3.715 * CHOOSE(CONTROL!$C$19, $C$13, 100%, $E$13)</f>
        <v>3.7149999999999999</v>
      </c>
      <c r="C198" s="60">
        <f>3.715 * CHOOSE(CONTROL!$C$19, $C$13, 100%, $E$13)</f>
        <v>3.7149999999999999</v>
      </c>
      <c r="D198" s="60">
        <f>3.7302 * CHOOSE(CONTROL!$C$19, $C$13, 100%, $E$13)</f>
        <v>3.7302</v>
      </c>
      <c r="E198" s="61">
        <f>3.8497 * CHOOSE(CONTROL!$C$19, $C$13, 100%, $E$13)</f>
        <v>3.8496999999999999</v>
      </c>
      <c r="F198" s="61">
        <f>3.8497 * CHOOSE(CONTROL!$C$19, $C$13, 100%, $E$13)</f>
        <v>3.8496999999999999</v>
      </c>
      <c r="G198" s="61">
        <f>3.8498 * CHOOSE(CONTROL!$C$19, $C$13, 100%, $E$13)</f>
        <v>3.8498000000000001</v>
      </c>
      <c r="H198" s="61">
        <f>6.0818* CHOOSE(CONTROL!$C$19, $C$13, 100%, $E$13)</f>
        <v>6.0818000000000003</v>
      </c>
      <c r="I198" s="61">
        <f>6.0819 * CHOOSE(CONTROL!$C$19, $C$13, 100%, $E$13)</f>
        <v>6.0819000000000001</v>
      </c>
      <c r="J198" s="61">
        <f>3.8497 * CHOOSE(CONTROL!$C$19, $C$13, 100%, $E$13)</f>
        <v>3.8496999999999999</v>
      </c>
      <c r="K198" s="61">
        <f>3.8498 * CHOOSE(CONTROL!$C$19, $C$13, 100%, $E$13)</f>
        <v>3.8498000000000001</v>
      </c>
    </row>
    <row r="199" spans="1:11" ht="15">
      <c r="A199" s="13">
        <v>47908</v>
      </c>
      <c r="B199" s="60">
        <f>3.712 * CHOOSE(CONTROL!$C$19, $C$13, 100%, $E$13)</f>
        <v>3.7120000000000002</v>
      </c>
      <c r="C199" s="60">
        <f>3.712 * CHOOSE(CONTROL!$C$19, $C$13, 100%, $E$13)</f>
        <v>3.7120000000000002</v>
      </c>
      <c r="D199" s="60">
        <f>3.7272 * CHOOSE(CONTROL!$C$19, $C$13, 100%, $E$13)</f>
        <v>3.7271999999999998</v>
      </c>
      <c r="E199" s="61">
        <f>3.8917 * CHOOSE(CONTROL!$C$19, $C$13, 100%, $E$13)</f>
        <v>3.8917000000000002</v>
      </c>
      <c r="F199" s="61">
        <f>3.8917 * CHOOSE(CONTROL!$C$19, $C$13, 100%, $E$13)</f>
        <v>3.8917000000000002</v>
      </c>
      <c r="G199" s="61">
        <f>3.8919 * CHOOSE(CONTROL!$C$19, $C$13, 100%, $E$13)</f>
        <v>3.8919000000000001</v>
      </c>
      <c r="H199" s="61">
        <f>6.0944* CHOOSE(CONTROL!$C$19, $C$13, 100%, $E$13)</f>
        <v>6.0944000000000003</v>
      </c>
      <c r="I199" s="61">
        <f>6.0946 * CHOOSE(CONTROL!$C$19, $C$13, 100%, $E$13)</f>
        <v>6.0945999999999998</v>
      </c>
      <c r="J199" s="61">
        <f>3.8917 * CHOOSE(CONTROL!$C$19, $C$13, 100%, $E$13)</f>
        <v>3.8917000000000002</v>
      </c>
      <c r="K199" s="61">
        <f>3.8919 * CHOOSE(CONTROL!$C$19, $C$13, 100%, $E$13)</f>
        <v>3.8919000000000001</v>
      </c>
    </row>
    <row r="200" spans="1:11" ht="15">
      <c r="A200" s="13">
        <v>47939</v>
      </c>
      <c r="B200" s="60">
        <f>3.7094 * CHOOSE(CONTROL!$C$19, $C$13, 100%, $E$13)</f>
        <v>3.7094</v>
      </c>
      <c r="C200" s="60">
        <f>3.7094 * CHOOSE(CONTROL!$C$19, $C$13, 100%, $E$13)</f>
        <v>3.7094</v>
      </c>
      <c r="D200" s="60">
        <f>3.7246 * CHOOSE(CONTROL!$C$19, $C$13, 100%, $E$13)</f>
        <v>3.7246000000000001</v>
      </c>
      <c r="E200" s="61">
        <f>3.9349 * CHOOSE(CONTROL!$C$19, $C$13, 100%, $E$13)</f>
        <v>3.9348999999999998</v>
      </c>
      <c r="F200" s="61">
        <f>3.9349 * CHOOSE(CONTROL!$C$19, $C$13, 100%, $E$13)</f>
        <v>3.9348999999999998</v>
      </c>
      <c r="G200" s="61">
        <f>3.9351 * CHOOSE(CONTROL!$C$19, $C$13, 100%, $E$13)</f>
        <v>3.9350999999999998</v>
      </c>
      <c r="H200" s="61">
        <f>6.1071* CHOOSE(CONTROL!$C$19, $C$13, 100%, $E$13)</f>
        <v>6.1071</v>
      </c>
      <c r="I200" s="61">
        <f>6.1073 * CHOOSE(CONTROL!$C$19, $C$13, 100%, $E$13)</f>
        <v>6.1073000000000004</v>
      </c>
      <c r="J200" s="61">
        <f>3.9349 * CHOOSE(CONTROL!$C$19, $C$13, 100%, $E$13)</f>
        <v>3.9348999999999998</v>
      </c>
      <c r="K200" s="61">
        <f>3.9351 * CHOOSE(CONTROL!$C$19, $C$13, 100%, $E$13)</f>
        <v>3.9350999999999998</v>
      </c>
    </row>
    <row r="201" spans="1:11" ht="15">
      <c r="A201" s="13">
        <v>47969</v>
      </c>
      <c r="B201" s="60">
        <f>3.7094 * CHOOSE(CONTROL!$C$19, $C$13, 100%, $E$13)</f>
        <v>3.7094</v>
      </c>
      <c r="C201" s="60">
        <f>3.7094 * CHOOSE(CONTROL!$C$19, $C$13, 100%, $E$13)</f>
        <v>3.7094</v>
      </c>
      <c r="D201" s="60">
        <f>3.7398 * CHOOSE(CONTROL!$C$19, $C$13, 100%, $E$13)</f>
        <v>3.7397999999999998</v>
      </c>
      <c r="E201" s="61">
        <f>3.9527 * CHOOSE(CONTROL!$C$19, $C$13, 100%, $E$13)</f>
        <v>3.9527000000000001</v>
      </c>
      <c r="F201" s="61">
        <f>3.9527 * CHOOSE(CONTROL!$C$19, $C$13, 100%, $E$13)</f>
        <v>3.9527000000000001</v>
      </c>
      <c r="G201" s="61">
        <f>3.9546 * CHOOSE(CONTROL!$C$19, $C$13, 100%, $E$13)</f>
        <v>3.9546000000000001</v>
      </c>
      <c r="H201" s="61">
        <f>6.1198* CHOOSE(CONTROL!$C$19, $C$13, 100%, $E$13)</f>
        <v>6.1197999999999997</v>
      </c>
      <c r="I201" s="61">
        <f>6.1218 * CHOOSE(CONTROL!$C$19, $C$13, 100%, $E$13)</f>
        <v>6.1218000000000004</v>
      </c>
      <c r="J201" s="61">
        <f>3.9527 * CHOOSE(CONTROL!$C$19, $C$13, 100%, $E$13)</f>
        <v>3.9527000000000001</v>
      </c>
      <c r="K201" s="61">
        <f>3.9546 * CHOOSE(CONTROL!$C$19, $C$13, 100%, $E$13)</f>
        <v>3.9546000000000001</v>
      </c>
    </row>
    <row r="202" spans="1:11" ht="15">
      <c r="A202" s="13">
        <v>48000</v>
      </c>
      <c r="B202" s="60">
        <f>3.7155 * CHOOSE(CONTROL!$C$19, $C$13, 100%, $E$13)</f>
        <v>3.7155</v>
      </c>
      <c r="C202" s="60">
        <f>3.7155 * CHOOSE(CONTROL!$C$19, $C$13, 100%, $E$13)</f>
        <v>3.7155</v>
      </c>
      <c r="D202" s="60">
        <f>3.7458 * CHOOSE(CONTROL!$C$19, $C$13, 100%, $E$13)</f>
        <v>3.7458</v>
      </c>
      <c r="E202" s="61">
        <f>3.9392 * CHOOSE(CONTROL!$C$19, $C$13, 100%, $E$13)</f>
        <v>3.9392</v>
      </c>
      <c r="F202" s="61">
        <f>3.9392 * CHOOSE(CONTROL!$C$19, $C$13, 100%, $E$13)</f>
        <v>3.9392</v>
      </c>
      <c r="G202" s="61">
        <f>3.9411 * CHOOSE(CONTROL!$C$19, $C$13, 100%, $E$13)</f>
        <v>3.9411</v>
      </c>
      <c r="H202" s="61">
        <f>6.1326* CHOOSE(CONTROL!$C$19, $C$13, 100%, $E$13)</f>
        <v>6.1326000000000001</v>
      </c>
      <c r="I202" s="61">
        <f>6.1345 * CHOOSE(CONTROL!$C$19, $C$13, 100%, $E$13)</f>
        <v>6.1345000000000001</v>
      </c>
      <c r="J202" s="61">
        <f>3.9392 * CHOOSE(CONTROL!$C$19, $C$13, 100%, $E$13)</f>
        <v>3.9392</v>
      </c>
      <c r="K202" s="61">
        <f>3.9411 * CHOOSE(CONTROL!$C$19, $C$13, 100%, $E$13)</f>
        <v>3.9411</v>
      </c>
    </row>
    <row r="203" spans="1:11" ht="15">
      <c r="A203" s="13">
        <v>48030</v>
      </c>
      <c r="B203" s="60">
        <f>3.7619 * CHOOSE(CONTROL!$C$19, $C$13, 100%, $E$13)</f>
        <v>3.7618999999999998</v>
      </c>
      <c r="C203" s="60">
        <f>3.7619 * CHOOSE(CONTROL!$C$19, $C$13, 100%, $E$13)</f>
        <v>3.7618999999999998</v>
      </c>
      <c r="D203" s="60">
        <f>3.7922 * CHOOSE(CONTROL!$C$19, $C$13, 100%, $E$13)</f>
        <v>3.7921999999999998</v>
      </c>
      <c r="E203" s="61">
        <f>4.0315 * CHOOSE(CONTROL!$C$19, $C$13, 100%, $E$13)</f>
        <v>4.0315000000000003</v>
      </c>
      <c r="F203" s="61">
        <f>4.0315 * CHOOSE(CONTROL!$C$19, $C$13, 100%, $E$13)</f>
        <v>4.0315000000000003</v>
      </c>
      <c r="G203" s="61">
        <f>4.0334 * CHOOSE(CONTROL!$C$19, $C$13, 100%, $E$13)</f>
        <v>4.0334000000000003</v>
      </c>
      <c r="H203" s="61">
        <f>6.1454* CHOOSE(CONTROL!$C$19, $C$13, 100%, $E$13)</f>
        <v>6.1454000000000004</v>
      </c>
      <c r="I203" s="61">
        <f>6.1473 * CHOOSE(CONTROL!$C$19, $C$13, 100%, $E$13)</f>
        <v>6.1473000000000004</v>
      </c>
      <c r="J203" s="61">
        <f>4.0315 * CHOOSE(CONTROL!$C$19, $C$13, 100%, $E$13)</f>
        <v>4.0315000000000003</v>
      </c>
      <c r="K203" s="61">
        <f>4.0334 * CHOOSE(CONTROL!$C$19, $C$13, 100%, $E$13)</f>
        <v>4.0334000000000003</v>
      </c>
    </row>
    <row r="204" spans="1:11" ht="15">
      <c r="A204" s="13">
        <v>48061</v>
      </c>
      <c r="B204" s="60">
        <f>3.7686 * CHOOSE(CONTROL!$C$19, $C$13, 100%, $E$13)</f>
        <v>3.7686000000000002</v>
      </c>
      <c r="C204" s="60">
        <f>3.7686 * CHOOSE(CONTROL!$C$19, $C$13, 100%, $E$13)</f>
        <v>3.7686000000000002</v>
      </c>
      <c r="D204" s="60">
        <f>3.7989 * CHOOSE(CONTROL!$C$19, $C$13, 100%, $E$13)</f>
        <v>3.7989000000000002</v>
      </c>
      <c r="E204" s="61">
        <f>3.9828 * CHOOSE(CONTROL!$C$19, $C$13, 100%, $E$13)</f>
        <v>3.9828000000000001</v>
      </c>
      <c r="F204" s="61">
        <f>3.9828 * CHOOSE(CONTROL!$C$19, $C$13, 100%, $E$13)</f>
        <v>3.9828000000000001</v>
      </c>
      <c r="G204" s="61">
        <f>3.9847 * CHOOSE(CONTROL!$C$19, $C$13, 100%, $E$13)</f>
        <v>3.9847000000000001</v>
      </c>
      <c r="H204" s="61">
        <f>6.1582* CHOOSE(CONTROL!$C$19, $C$13, 100%, $E$13)</f>
        <v>6.1581999999999999</v>
      </c>
      <c r="I204" s="61">
        <f>6.1601 * CHOOSE(CONTROL!$C$19, $C$13, 100%, $E$13)</f>
        <v>6.1600999999999999</v>
      </c>
      <c r="J204" s="61">
        <f>3.9828 * CHOOSE(CONTROL!$C$19, $C$13, 100%, $E$13)</f>
        <v>3.9828000000000001</v>
      </c>
      <c r="K204" s="61">
        <f>3.9847 * CHOOSE(CONTROL!$C$19, $C$13, 100%, $E$13)</f>
        <v>3.9847000000000001</v>
      </c>
    </row>
    <row r="205" spans="1:11" ht="15">
      <c r="A205" s="13">
        <v>48092</v>
      </c>
      <c r="B205" s="60">
        <f>3.7655 * CHOOSE(CONTROL!$C$19, $C$13, 100%, $E$13)</f>
        <v>3.7654999999999998</v>
      </c>
      <c r="C205" s="60">
        <f>3.7655 * CHOOSE(CONTROL!$C$19, $C$13, 100%, $E$13)</f>
        <v>3.7654999999999998</v>
      </c>
      <c r="D205" s="60">
        <f>3.7959 * CHOOSE(CONTROL!$C$19, $C$13, 100%, $E$13)</f>
        <v>3.7959000000000001</v>
      </c>
      <c r="E205" s="61">
        <f>3.9748 * CHOOSE(CONTROL!$C$19, $C$13, 100%, $E$13)</f>
        <v>3.9748000000000001</v>
      </c>
      <c r="F205" s="61">
        <f>3.9748 * CHOOSE(CONTROL!$C$19, $C$13, 100%, $E$13)</f>
        <v>3.9748000000000001</v>
      </c>
      <c r="G205" s="61">
        <f>3.9767 * CHOOSE(CONTROL!$C$19, $C$13, 100%, $E$13)</f>
        <v>3.9767000000000001</v>
      </c>
      <c r="H205" s="61">
        <f>6.171* CHOOSE(CONTROL!$C$19, $C$13, 100%, $E$13)</f>
        <v>6.1710000000000003</v>
      </c>
      <c r="I205" s="61">
        <f>6.1729 * CHOOSE(CONTROL!$C$19, $C$13, 100%, $E$13)</f>
        <v>6.1729000000000003</v>
      </c>
      <c r="J205" s="61">
        <f>3.9748 * CHOOSE(CONTROL!$C$19, $C$13, 100%, $E$13)</f>
        <v>3.9748000000000001</v>
      </c>
      <c r="K205" s="61">
        <f>3.9767 * CHOOSE(CONTROL!$C$19, $C$13, 100%, $E$13)</f>
        <v>3.9767000000000001</v>
      </c>
    </row>
    <row r="206" spans="1:11" ht="15">
      <c r="A206" s="13">
        <v>48122</v>
      </c>
      <c r="B206" s="60">
        <f>3.7598 * CHOOSE(CONTROL!$C$19, $C$13, 100%, $E$13)</f>
        <v>3.7597999999999998</v>
      </c>
      <c r="C206" s="60">
        <f>3.7598 * CHOOSE(CONTROL!$C$19, $C$13, 100%, $E$13)</f>
        <v>3.7597999999999998</v>
      </c>
      <c r="D206" s="60">
        <f>3.775 * CHOOSE(CONTROL!$C$19, $C$13, 100%, $E$13)</f>
        <v>3.7749999999999999</v>
      </c>
      <c r="E206" s="61">
        <f>3.9851 * CHOOSE(CONTROL!$C$19, $C$13, 100%, $E$13)</f>
        <v>3.9851000000000001</v>
      </c>
      <c r="F206" s="61">
        <f>3.9851 * CHOOSE(CONTROL!$C$19, $C$13, 100%, $E$13)</f>
        <v>3.9851000000000001</v>
      </c>
      <c r="G206" s="61">
        <f>3.9852 * CHOOSE(CONTROL!$C$19, $C$13, 100%, $E$13)</f>
        <v>3.9851999999999999</v>
      </c>
      <c r="H206" s="61">
        <f>6.1839* CHOOSE(CONTROL!$C$19, $C$13, 100%, $E$13)</f>
        <v>6.1839000000000004</v>
      </c>
      <c r="I206" s="61">
        <f>6.184 * CHOOSE(CONTROL!$C$19, $C$13, 100%, $E$13)</f>
        <v>6.1840000000000002</v>
      </c>
      <c r="J206" s="61">
        <f>3.9851 * CHOOSE(CONTROL!$C$19, $C$13, 100%, $E$13)</f>
        <v>3.9851000000000001</v>
      </c>
      <c r="K206" s="61">
        <f>3.9852 * CHOOSE(CONTROL!$C$19, $C$13, 100%, $E$13)</f>
        <v>3.9851999999999999</v>
      </c>
    </row>
    <row r="207" spans="1:11" ht="15">
      <c r="A207" s="13">
        <v>48153</v>
      </c>
      <c r="B207" s="60">
        <f>3.7628 * CHOOSE(CONTROL!$C$19, $C$13, 100%, $E$13)</f>
        <v>3.7627999999999999</v>
      </c>
      <c r="C207" s="60">
        <f>3.7628 * CHOOSE(CONTROL!$C$19, $C$13, 100%, $E$13)</f>
        <v>3.7627999999999999</v>
      </c>
      <c r="D207" s="60">
        <f>3.778 * CHOOSE(CONTROL!$C$19, $C$13, 100%, $E$13)</f>
        <v>3.778</v>
      </c>
      <c r="E207" s="61">
        <f>3.9991 * CHOOSE(CONTROL!$C$19, $C$13, 100%, $E$13)</f>
        <v>3.9990999999999999</v>
      </c>
      <c r="F207" s="61">
        <f>3.9991 * CHOOSE(CONTROL!$C$19, $C$13, 100%, $E$13)</f>
        <v>3.9990999999999999</v>
      </c>
      <c r="G207" s="61">
        <f>3.9992 * CHOOSE(CONTROL!$C$19, $C$13, 100%, $E$13)</f>
        <v>3.9992000000000001</v>
      </c>
      <c r="H207" s="61">
        <f>6.1967* CHOOSE(CONTROL!$C$19, $C$13, 100%, $E$13)</f>
        <v>6.1966999999999999</v>
      </c>
      <c r="I207" s="61">
        <f>6.1969 * CHOOSE(CONTROL!$C$19, $C$13, 100%, $E$13)</f>
        <v>6.1969000000000003</v>
      </c>
      <c r="J207" s="61">
        <f>3.9991 * CHOOSE(CONTROL!$C$19, $C$13, 100%, $E$13)</f>
        <v>3.9990999999999999</v>
      </c>
      <c r="K207" s="61">
        <f>3.9992 * CHOOSE(CONTROL!$C$19, $C$13, 100%, $E$13)</f>
        <v>3.9992000000000001</v>
      </c>
    </row>
    <row r="208" spans="1:11" ht="15">
      <c r="A208" s="13">
        <v>48183</v>
      </c>
      <c r="B208" s="60">
        <f>3.7628 * CHOOSE(CONTROL!$C$19, $C$13, 100%, $E$13)</f>
        <v>3.7627999999999999</v>
      </c>
      <c r="C208" s="60">
        <f>3.7628 * CHOOSE(CONTROL!$C$19, $C$13, 100%, $E$13)</f>
        <v>3.7627999999999999</v>
      </c>
      <c r="D208" s="60">
        <f>3.778 * CHOOSE(CONTROL!$C$19, $C$13, 100%, $E$13)</f>
        <v>3.778</v>
      </c>
      <c r="E208" s="61">
        <f>3.9694 * CHOOSE(CONTROL!$C$19, $C$13, 100%, $E$13)</f>
        <v>3.9693999999999998</v>
      </c>
      <c r="F208" s="61">
        <f>3.9694 * CHOOSE(CONTROL!$C$19, $C$13, 100%, $E$13)</f>
        <v>3.9693999999999998</v>
      </c>
      <c r="G208" s="61">
        <f>3.9696 * CHOOSE(CONTROL!$C$19, $C$13, 100%, $E$13)</f>
        <v>3.9695999999999998</v>
      </c>
      <c r="H208" s="61">
        <f>6.2097* CHOOSE(CONTROL!$C$19, $C$13, 100%, $E$13)</f>
        <v>6.2096999999999998</v>
      </c>
      <c r="I208" s="61">
        <f>6.2098 * CHOOSE(CONTROL!$C$19, $C$13, 100%, $E$13)</f>
        <v>6.2098000000000004</v>
      </c>
      <c r="J208" s="61">
        <f>3.9694 * CHOOSE(CONTROL!$C$19, $C$13, 100%, $E$13)</f>
        <v>3.9693999999999998</v>
      </c>
      <c r="K208" s="61">
        <f>3.9696 * CHOOSE(CONTROL!$C$19, $C$13, 100%, $E$13)</f>
        <v>3.9695999999999998</v>
      </c>
    </row>
    <row r="209" spans="1:11" ht="15">
      <c r="A209" s="13">
        <v>48214</v>
      </c>
      <c r="B209" s="60">
        <f>3.7955 * CHOOSE(CONTROL!$C$19, $C$13, 100%, $E$13)</f>
        <v>3.7955000000000001</v>
      </c>
      <c r="C209" s="60">
        <f>3.7955 * CHOOSE(CONTROL!$C$19, $C$13, 100%, $E$13)</f>
        <v>3.7955000000000001</v>
      </c>
      <c r="D209" s="60">
        <f>3.8107 * CHOOSE(CONTROL!$C$19, $C$13, 100%, $E$13)</f>
        <v>3.8107000000000002</v>
      </c>
      <c r="E209" s="61">
        <f>4.0264 * CHOOSE(CONTROL!$C$19, $C$13, 100%, $E$13)</f>
        <v>4.0263999999999998</v>
      </c>
      <c r="F209" s="61">
        <f>4.0264 * CHOOSE(CONTROL!$C$19, $C$13, 100%, $E$13)</f>
        <v>4.0263999999999998</v>
      </c>
      <c r="G209" s="61">
        <f>4.0266 * CHOOSE(CONTROL!$C$19, $C$13, 100%, $E$13)</f>
        <v>4.0266000000000002</v>
      </c>
      <c r="H209" s="61">
        <f>6.2226* CHOOSE(CONTROL!$C$19, $C$13, 100%, $E$13)</f>
        <v>6.2225999999999999</v>
      </c>
      <c r="I209" s="61">
        <f>6.2228 * CHOOSE(CONTROL!$C$19, $C$13, 100%, $E$13)</f>
        <v>6.2228000000000003</v>
      </c>
      <c r="J209" s="61">
        <f>4.0264 * CHOOSE(CONTROL!$C$19, $C$13, 100%, $E$13)</f>
        <v>4.0263999999999998</v>
      </c>
      <c r="K209" s="61">
        <f>4.0266 * CHOOSE(CONTROL!$C$19, $C$13, 100%, $E$13)</f>
        <v>4.0266000000000002</v>
      </c>
    </row>
    <row r="210" spans="1:11" ht="15">
      <c r="A210" s="13">
        <v>48245</v>
      </c>
      <c r="B210" s="60">
        <f>3.7924 * CHOOSE(CONTROL!$C$19, $C$13, 100%, $E$13)</f>
        <v>3.7924000000000002</v>
      </c>
      <c r="C210" s="60">
        <f>3.7924 * CHOOSE(CONTROL!$C$19, $C$13, 100%, $E$13)</f>
        <v>3.7924000000000002</v>
      </c>
      <c r="D210" s="60">
        <f>3.8076 * CHOOSE(CONTROL!$C$19, $C$13, 100%, $E$13)</f>
        <v>3.8075999999999999</v>
      </c>
      <c r="E210" s="61">
        <f>3.9666 * CHOOSE(CONTROL!$C$19, $C$13, 100%, $E$13)</f>
        <v>3.9666000000000001</v>
      </c>
      <c r="F210" s="61">
        <f>3.9666 * CHOOSE(CONTROL!$C$19, $C$13, 100%, $E$13)</f>
        <v>3.9666000000000001</v>
      </c>
      <c r="G210" s="61">
        <f>3.9668 * CHOOSE(CONTROL!$C$19, $C$13, 100%, $E$13)</f>
        <v>3.9668000000000001</v>
      </c>
      <c r="H210" s="61">
        <f>6.2356* CHOOSE(CONTROL!$C$19, $C$13, 100%, $E$13)</f>
        <v>6.2355999999999998</v>
      </c>
      <c r="I210" s="61">
        <f>6.2357 * CHOOSE(CONTROL!$C$19, $C$13, 100%, $E$13)</f>
        <v>6.2356999999999996</v>
      </c>
      <c r="J210" s="61">
        <f>3.9666 * CHOOSE(CONTROL!$C$19, $C$13, 100%, $E$13)</f>
        <v>3.9666000000000001</v>
      </c>
      <c r="K210" s="61">
        <f>3.9668 * CHOOSE(CONTROL!$C$19, $C$13, 100%, $E$13)</f>
        <v>3.9668000000000001</v>
      </c>
    </row>
    <row r="211" spans="1:11" ht="15">
      <c r="A211" s="13">
        <v>48274</v>
      </c>
      <c r="B211" s="60">
        <f>3.7894 * CHOOSE(CONTROL!$C$19, $C$13, 100%, $E$13)</f>
        <v>3.7894000000000001</v>
      </c>
      <c r="C211" s="60">
        <f>3.7894 * CHOOSE(CONTROL!$C$19, $C$13, 100%, $E$13)</f>
        <v>3.7894000000000001</v>
      </c>
      <c r="D211" s="60">
        <f>3.8046 * CHOOSE(CONTROL!$C$19, $C$13, 100%, $E$13)</f>
        <v>3.8046000000000002</v>
      </c>
      <c r="E211" s="61">
        <f>4.01 * CHOOSE(CONTROL!$C$19, $C$13, 100%, $E$13)</f>
        <v>4.01</v>
      </c>
      <c r="F211" s="61">
        <f>4.01 * CHOOSE(CONTROL!$C$19, $C$13, 100%, $E$13)</f>
        <v>4.01</v>
      </c>
      <c r="G211" s="61">
        <f>4.0101 * CHOOSE(CONTROL!$C$19, $C$13, 100%, $E$13)</f>
        <v>4.0101000000000004</v>
      </c>
      <c r="H211" s="61">
        <f>6.2485* CHOOSE(CONTROL!$C$19, $C$13, 100%, $E$13)</f>
        <v>6.2484999999999999</v>
      </c>
      <c r="I211" s="61">
        <f>6.2487 * CHOOSE(CONTROL!$C$19, $C$13, 100%, $E$13)</f>
        <v>6.2487000000000004</v>
      </c>
      <c r="J211" s="61">
        <f>4.01 * CHOOSE(CONTROL!$C$19, $C$13, 100%, $E$13)</f>
        <v>4.01</v>
      </c>
      <c r="K211" s="61">
        <f>4.0101 * CHOOSE(CONTROL!$C$19, $C$13, 100%, $E$13)</f>
        <v>4.0101000000000004</v>
      </c>
    </row>
    <row r="212" spans="1:11" ht="15">
      <c r="A212" s="13">
        <v>48305</v>
      </c>
      <c r="B212" s="60">
        <f>3.7869 * CHOOSE(CONTROL!$C$19, $C$13, 100%, $E$13)</f>
        <v>3.7869000000000002</v>
      </c>
      <c r="C212" s="60">
        <f>3.7869 * CHOOSE(CONTROL!$C$19, $C$13, 100%, $E$13)</f>
        <v>3.7869000000000002</v>
      </c>
      <c r="D212" s="60">
        <f>3.8021 * CHOOSE(CONTROL!$C$19, $C$13, 100%, $E$13)</f>
        <v>3.8020999999999998</v>
      </c>
      <c r="E212" s="61">
        <f>4.0546 * CHOOSE(CONTROL!$C$19, $C$13, 100%, $E$13)</f>
        <v>4.0545999999999998</v>
      </c>
      <c r="F212" s="61">
        <f>4.0546 * CHOOSE(CONTROL!$C$19, $C$13, 100%, $E$13)</f>
        <v>4.0545999999999998</v>
      </c>
      <c r="G212" s="61">
        <f>4.0548 * CHOOSE(CONTROL!$C$19, $C$13, 100%, $E$13)</f>
        <v>4.0548000000000002</v>
      </c>
      <c r="H212" s="61">
        <f>6.2616* CHOOSE(CONTROL!$C$19, $C$13, 100%, $E$13)</f>
        <v>6.2615999999999996</v>
      </c>
      <c r="I212" s="61">
        <f>6.2617 * CHOOSE(CONTROL!$C$19, $C$13, 100%, $E$13)</f>
        <v>6.2617000000000003</v>
      </c>
      <c r="J212" s="61">
        <f>4.0546 * CHOOSE(CONTROL!$C$19, $C$13, 100%, $E$13)</f>
        <v>4.0545999999999998</v>
      </c>
      <c r="K212" s="61">
        <f>4.0548 * CHOOSE(CONTROL!$C$19, $C$13, 100%, $E$13)</f>
        <v>4.0548000000000002</v>
      </c>
    </row>
    <row r="213" spans="1:11" ht="15">
      <c r="A213" s="13">
        <v>48335</v>
      </c>
      <c r="B213" s="60">
        <f>3.7869 * CHOOSE(CONTROL!$C$19, $C$13, 100%, $E$13)</f>
        <v>3.7869000000000002</v>
      </c>
      <c r="C213" s="60">
        <f>3.7869 * CHOOSE(CONTROL!$C$19, $C$13, 100%, $E$13)</f>
        <v>3.7869000000000002</v>
      </c>
      <c r="D213" s="60">
        <f>3.8172 * CHOOSE(CONTROL!$C$19, $C$13, 100%, $E$13)</f>
        <v>3.8172000000000001</v>
      </c>
      <c r="E213" s="61">
        <f>4.0729 * CHOOSE(CONTROL!$C$19, $C$13, 100%, $E$13)</f>
        <v>4.0728999999999997</v>
      </c>
      <c r="F213" s="61">
        <f>4.0729 * CHOOSE(CONTROL!$C$19, $C$13, 100%, $E$13)</f>
        <v>4.0728999999999997</v>
      </c>
      <c r="G213" s="61">
        <f>4.0748 * CHOOSE(CONTROL!$C$19, $C$13, 100%, $E$13)</f>
        <v>4.0747999999999998</v>
      </c>
      <c r="H213" s="61">
        <f>6.2746* CHOOSE(CONTROL!$C$19, $C$13, 100%, $E$13)</f>
        <v>6.2746000000000004</v>
      </c>
      <c r="I213" s="61">
        <f>6.2765 * CHOOSE(CONTROL!$C$19, $C$13, 100%, $E$13)</f>
        <v>6.2765000000000004</v>
      </c>
      <c r="J213" s="61">
        <f>4.0729 * CHOOSE(CONTROL!$C$19, $C$13, 100%, $E$13)</f>
        <v>4.0728999999999997</v>
      </c>
      <c r="K213" s="61">
        <f>4.0748 * CHOOSE(CONTROL!$C$19, $C$13, 100%, $E$13)</f>
        <v>4.0747999999999998</v>
      </c>
    </row>
    <row r="214" spans="1:11" ht="15">
      <c r="A214" s="13">
        <v>48366</v>
      </c>
      <c r="B214" s="60">
        <f>3.793 * CHOOSE(CONTROL!$C$19, $C$13, 100%, $E$13)</f>
        <v>3.7930000000000001</v>
      </c>
      <c r="C214" s="60">
        <f>3.793 * CHOOSE(CONTROL!$C$19, $C$13, 100%, $E$13)</f>
        <v>3.7930000000000001</v>
      </c>
      <c r="D214" s="60">
        <f>3.8233 * CHOOSE(CONTROL!$C$19, $C$13, 100%, $E$13)</f>
        <v>3.8233000000000001</v>
      </c>
      <c r="E214" s="61">
        <f>4.0588 * CHOOSE(CONTROL!$C$19, $C$13, 100%, $E$13)</f>
        <v>4.0587999999999997</v>
      </c>
      <c r="F214" s="61">
        <f>4.0588 * CHOOSE(CONTROL!$C$19, $C$13, 100%, $E$13)</f>
        <v>4.0587999999999997</v>
      </c>
      <c r="G214" s="61">
        <f>4.0607 * CHOOSE(CONTROL!$C$19, $C$13, 100%, $E$13)</f>
        <v>4.0606999999999998</v>
      </c>
      <c r="H214" s="61">
        <f>6.2877* CHOOSE(CONTROL!$C$19, $C$13, 100%, $E$13)</f>
        <v>6.2877000000000001</v>
      </c>
      <c r="I214" s="61">
        <f>6.2896 * CHOOSE(CONTROL!$C$19, $C$13, 100%, $E$13)</f>
        <v>6.2896000000000001</v>
      </c>
      <c r="J214" s="61">
        <f>4.0588 * CHOOSE(CONTROL!$C$19, $C$13, 100%, $E$13)</f>
        <v>4.0587999999999997</v>
      </c>
      <c r="K214" s="61">
        <f>4.0607 * CHOOSE(CONTROL!$C$19, $C$13, 100%, $E$13)</f>
        <v>4.0606999999999998</v>
      </c>
    </row>
    <row r="215" spans="1:11" ht="15">
      <c r="A215" s="13">
        <v>48396</v>
      </c>
      <c r="B215" s="60">
        <f>3.8532 * CHOOSE(CONTROL!$C$19, $C$13, 100%, $E$13)</f>
        <v>3.8532000000000002</v>
      </c>
      <c r="C215" s="60">
        <f>3.8532 * CHOOSE(CONTROL!$C$19, $C$13, 100%, $E$13)</f>
        <v>3.8532000000000002</v>
      </c>
      <c r="D215" s="60">
        <f>3.8836 * CHOOSE(CONTROL!$C$19, $C$13, 100%, $E$13)</f>
        <v>3.8835999999999999</v>
      </c>
      <c r="E215" s="61">
        <f>4.1344 * CHOOSE(CONTROL!$C$19, $C$13, 100%, $E$13)</f>
        <v>4.1344000000000003</v>
      </c>
      <c r="F215" s="61">
        <f>4.1344 * CHOOSE(CONTROL!$C$19, $C$13, 100%, $E$13)</f>
        <v>4.1344000000000003</v>
      </c>
      <c r="G215" s="61">
        <f>4.1363 * CHOOSE(CONTROL!$C$19, $C$13, 100%, $E$13)</f>
        <v>4.1363000000000003</v>
      </c>
      <c r="H215" s="61">
        <f>6.3008* CHOOSE(CONTROL!$C$19, $C$13, 100%, $E$13)</f>
        <v>6.3007999999999997</v>
      </c>
      <c r="I215" s="61">
        <f>6.3027 * CHOOSE(CONTROL!$C$19, $C$13, 100%, $E$13)</f>
        <v>6.3026999999999997</v>
      </c>
      <c r="J215" s="61">
        <f>4.1344 * CHOOSE(CONTROL!$C$19, $C$13, 100%, $E$13)</f>
        <v>4.1344000000000003</v>
      </c>
      <c r="K215" s="61">
        <f>4.1363 * CHOOSE(CONTROL!$C$19, $C$13, 100%, $E$13)</f>
        <v>4.1363000000000003</v>
      </c>
    </row>
    <row r="216" spans="1:11" ht="15">
      <c r="A216" s="13">
        <v>48427</v>
      </c>
      <c r="B216" s="60">
        <f>3.8599 * CHOOSE(CONTROL!$C$19, $C$13, 100%, $E$13)</f>
        <v>3.8599000000000001</v>
      </c>
      <c r="C216" s="60">
        <f>3.8599 * CHOOSE(CONTROL!$C$19, $C$13, 100%, $E$13)</f>
        <v>3.8599000000000001</v>
      </c>
      <c r="D216" s="60">
        <f>3.8903 * CHOOSE(CONTROL!$C$19, $C$13, 100%, $E$13)</f>
        <v>3.8902999999999999</v>
      </c>
      <c r="E216" s="61">
        <f>4.0841 * CHOOSE(CONTROL!$C$19, $C$13, 100%, $E$13)</f>
        <v>4.0841000000000003</v>
      </c>
      <c r="F216" s="61">
        <f>4.0841 * CHOOSE(CONTROL!$C$19, $C$13, 100%, $E$13)</f>
        <v>4.0841000000000003</v>
      </c>
      <c r="G216" s="61">
        <f>4.086 * CHOOSE(CONTROL!$C$19, $C$13, 100%, $E$13)</f>
        <v>4.0860000000000003</v>
      </c>
      <c r="H216" s="61">
        <f>6.3139* CHOOSE(CONTROL!$C$19, $C$13, 100%, $E$13)</f>
        <v>6.3139000000000003</v>
      </c>
      <c r="I216" s="61">
        <f>6.3158 * CHOOSE(CONTROL!$C$19, $C$13, 100%, $E$13)</f>
        <v>6.3158000000000003</v>
      </c>
      <c r="J216" s="61">
        <f>4.0841 * CHOOSE(CONTROL!$C$19, $C$13, 100%, $E$13)</f>
        <v>4.0841000000000003</v>
      </c>
      <c r="K216" s="61">
        <f>4.086 * CHOOSE(CONTROL!$C$19, $C$13, 100%, $E$13)</f>
        <v>4.0860000000000003</v>
      </c>
    </row>
    <row r="217" spans="1:11" ht="15">
      <c r="A217" s="13">
        <v>48458</v>
      </c>
      <c r="B217" s="60">
        <f>3.8569 * CHOOSE(CONTROL!$C$19, $C$13, 100%, $E$13)</f>
        <v>3.8569</v>
      </c>
      <c r="C217" s="60">
        <f>3.8569 * CHOOSE(CONTROL!$C$19, $C$13, 100%, $E$13)</f>
        <v>3.8569</v>
      </c>
      <c r="D217" s="60">
        <f>3.8872 * CHOOSE(CONTROL!$C$19, $C$13, 100%, $E$13)</f>
        <v>3.8872</v>
      </c>
      <c r="E217" s="61">
        <f>4.0758 * CHOOSE(CONTROL!$C$19, $C$13, 100%, $E$13)</f>
        <v>4.0758000000000001</v>
      </c>
      <c r="F217" s="61">
        <f>4.0758 * CHOOSE(CONTROL!$C$19, $C$13, 100%, $E$13)</f>
        <v>4.0758000000000001</v>
      </c>
      <c r="G217" s="61">
        <f>4.0777 * CHOOSE(CONTROL!$C$19, $C$13, 100%, $E$13)</f>
        <v>4.0777000000000001</v>
      </c>
      <c r="H217" s="61">
        <f>6.3271* CHOOSE(CONTROL!$C$19, $C$13, 100%, $E$13)</f>
        <v>6.3270999999999997</v>
      </c>
      <c r="I217" s="61">
        <f>6.329 * CHOOSE(CONTROL!$C$19, $C$13, 100%, $E$13)</f>
        <v>6.3289999999999997</v>
      </c>
      <c r="J217" s="61">
        <f>4.0758 * CHOOSE(CONTROL!$C$19, $C$13, 100%, $E$13)</f>
        <v>4.0758000000000001</v>
      </c>
      <c r="K217" s="61">
        <f>4.0777 * CHOOSE(CONTROL!$C$19, $C$13, 100%, $E$13)</f>
        <v>4.0777000000000001</v>
      </c>
    </row>
    <row r="218" spans="1:11" ht="15">
      <c r="A218" s="13">
        <v>48488</v>
      </c>
      <c r="B218" s="60">
        <f>3.8515 * CHOOSE(CONTROL!$C$19, $C$13, 100%, $E$13)</f>
        <v>3.8515000000000001</v>
      </c>
      <c r="C218" s="60">
        <f>3.8515 * CHOOSE(CONTROL!$C$19, $C$13, 100%, $E$13)</f>
        <v>3.8515000000000001</v>
      </c>
      <c r="D218" s="60">
        <f>3.8667 * CHOOSE(CONTROL!$C$19, $C$13, 100%, $E$13)</f>
        <v>3.8666999999999998</v>
      </c>
      <c r="E218" s="61">
        <f>4.0868 * CHOOSE(CONTROL!$C$19, $C$13, 100%, $E$13)</f>
        <v>4.0868000000000002</v>
      </c>
      <c r="F218" s="61">
        <f>4.0868 * CHOOSE(CONTROL!$C$19, $C$13, 100%, $E$13)</f>
        <v>4.0868000000000002</v>
      </c>
      <c r="G218" s="61">
        <f>4.087 * CHOOSE(CONTROL!$C$19, $C$13, 100%, $E$13)</f>
        <v>4.0869999999999997</v>
      </c>
      <c r="H218" s="61">
        <f>6.3402* CHOOSE(CONTROL!$C$19, $C$13, 100%, $E$13)</f>
        <v>6.3402000000000003</v>
      </c>
      <c r="I218" s="61">
        <f>6.3404 * CHOOSE(CONTROL!$C$19, $C$13, 100%, $E$13)</f>
        <v>6.3403999999999998</v>
      </c>
      <c r="J218" s="61">
        <f>4.0868 * CHOOSE(CONTROL!$C$19, $C$13, 100%, $E$13)</f>
        <v>4.0868000000000002</v>
      </c>
      <c r="K218" s="61">
        <f>4.087 * CHOOSE(CONTROL!$C$19, $C$13, 100%, $E$13)</f>
        <v>4.0869999999999997</v>
      </c>
    </row>
    <row r="219" spans="1:11" ht="15">
      <c r="A219" s="13">
        <v>48519</v>
      </c>
      <c r="B219" s="60">
        <f>3.8545 * CHOOSE(CONTROL!$C$19, $C$13, 100%, $E$13)</f>
        <v>3.8544999999999998</v>
      </c>
      <c r="C219" s="60">
        <f>3.8545 * CHOOSE(CONTROL!$C$19, $C$13, 100%, $E$13)</f>
        <v>3.8544999999999998</v>
      </c>
      <c r="D219" s="60">
        <f>3.8697 * CHOOSE(CONTROL!$C$19, $C$13, 100%, $E$13)</f>
        <v>3.8696999999999999</v>
      </c>
      <c r="E219" s="61">
        <f>4.1012 * CHOOSE(CONTROL!$C$19, $C$13, 100%, $E$13)</f>
        <v>4.1012000000000004</v>
      </c>
      <c r="F219" s="61">
        <f>4.1012 * CHOOSE(CONTROL!$C$19, $C$13, 100%, $E$13)</f>
        <v>4.1012000000000004</v>
      </c>
      <c r="G219" s="61">
        <f>4.1014 * CHOOSE(CONTROL!$C$19, $C$13, 100%, $E$13)</f>
        <v>4.1013999999999999</v>
      </c>
      <c r="H219" s="61">
        <f>6.3535* CHOOSE(CONTROL!$C$19, $C$13, 100%, $E$13)</f>
        <v>6.3535000000000004</v>
      </c>
      <c r="I219" s="61">
        <f>6.3536 * CHOOSE(CONTROL!$C$19, $C$13, 100%, $E$13)</f>
        <v>6.3536000000000001</v>
      </c>
      <c r="J219" s="61">
        <f>4.1012 * CHOOSE(CONTROL!$C$19, $C$13, 100%, $E$13)</f>
        <v>4.1012000000000004</v>
      </c>
      <c r="K219" s="61">
        <f>4.1014 * CHOOSE(CONTROL!$C$19, $C$13, 100%, $E$13)</f>
        <v>4.1013999999999999</v>
      </c>
    </row>
    <row r="220" spans="1:11" ht="15">
      <c r="A220" s="13">
        <v>48549</v>
      </c>
      <c r="B220" s="60">
        <f>3.8545 * CHOOSE(CONTROL!$C$19, $C$13, 100%, $E$13)</f>
        <v>3.8544999999999998</v>
      </c>
      <c r="C220" s="60">
        <f>3.8545 * CHOOSE(CONTROL!$C$19, $C$13, 100%, $E$13)</f>
        <v>3.8544999999999998</v>
      </c>
      <c r="D220" s="60">
        <f>3.8697 * CHOOSE(CONTROL!$C$19, $C$13, 100%, $E$13)</f>
        <v>3.8696999999999999</v>
      </c>
      <c r="E220" s="61">
        <f>4.0706 * CHOOSE(CONTROL!$C$19, $C$13, 100%, $E$13)</f>
        <v>4.0705999999999998</v>
      </c>
      <c r="F220" s="61">
        <f>4.0706 * CHOOSE(CONTROL!$C$19, $C$13, 100%, $E$13)</f>
        <v>4.0705999999999998</v>
      </c>
      <c r="G220" s="61">
        <f>4.0708 * CHOOSE(CONTROL!$C$19, $C$13, 100%, $E$13)</f>
        <v>4.0708000000000002</v>
      </c>
      <c r="H220" s="61">
        <f>6.3667* CHOOSE(CONTROL!$C$19, $C$13, 100%, $E$13)</f>
        <v>6.3666999999999998</v>
      </c>
      <c r="I220" s="61">
        <f>6.3669 * CHOOSE(CONTROL!$C$19, $C$13, 100%, $E$13)</f>
        <v>6.3669000000000002</v>
      </c>
      <c r="J220" s="61">
        <f>4.0706 * CHOOSE(CONTROL!$C$19, $C$13, 100%, $E$13)</f>
        <v>4.0705999999999998</v>
      </c>
      <c r="K220" s="61">
        <f>4.0708 * CHOOSE(CONTROL!$C$19, $C$13, 100%, $E$13)</f>
        <v>4.0708000000000002</v>
      </c>
    </row>
    <row r="221" spans="1:11" ht="15">
      <c r="A221" s="13">
        <v>48580</v>
      </c>
      <c r="B221" s="60">
        <f>3.8808 * CHOOSE(CONTROL!$C$19, $C$13, 100%, $E$13)</f>
        <v>3.8807999999999998</v>
      </c>
      <c r="C221" s="60">
        <f>3.8808 * CHOOSE(CONTROL!$C$19, $C$13, 100%, $E$13)</f>
        <v>3.8807999999999998</v>
      </c>
      <c r="D221" s="60">
        <f>3.896 * CHOOSE(CONTROL!$C$19, $C$13, 100%, $E$13)</f>
        <v>3.8959999999999999</v>
      </c>
      <c r="E221" s="61">
        <f>4.1331 * CHOOSE(CONTROL!$C$19, $C$13, 100%, $E$13)</f>
        <v>4.1330999999999998</v>
      </c>
      <c r="F221" s="61">
        <f>4.1331 * CHOOSE(CONTROL!$C$19, $C$13, 100%, $E$13)</f>
        <v>4.1330999999999998</v>
      </c>
      <c r="G221" s="61">
        <f>4.1333 * CHOOSE(CONTROL!$C$19, $C$13, 100%, $E$13)</f>
        <v>4.1333000000000002</v>
      </c>
      <c r="H221" s="61">
        <f>6.38* CHOOSE(CONTROL!$C$19, $C$13, 100%, $E$13)</f>
        <v>6.38</v>
      </c>
      <c r="I221" s="61">
        <f>6.3801 * CHOOSE(CONTROL!$C$19, $C$13, 100%, $E$13)</f>
        <v>6.3800999999999997</v>
      </c>
      <c r="J221" s="61">
        <f>4.1331 * CHOOSE(CONTROL!$C$19, $C$13, 100%, $E$13)</f>
        <v>4.1330999999999998</v>
      </c>
      <c r="K221" s="61">
        <f>4.1333 * CHOOSE(CONTROL!$C$19, $C$13, 100%, $E$13)</f>
        <v>4.1333000000000002</v>
      </c>
    </row>
    <row r="222" spans="1:11" ht="15">
      <c r="A222" s="13">
        <v>48611</v>
      </c>
      <c r="B222" s="60">
        <f>3.8778 * CHOOSE(CONTROL!$C$19, $C$13, 100%, $E$13)</f>
        <v>3.8778000000000001</v>
      </c>
      <c r="C222" s="60">
        <f>3.8778 * CHOOSE(CONTROL!$C$19, $C$13, 100%, $E$13)</f>
        <v>3.8778000000000001</v>
      </c>
      <c r="D222" s="60">
        <f>3.893 * CHOOSE(CONTROL!$C$19, $C$13, 100%, $E$13)</f>
        <v>3.8929999999999998</v>
      </c>
      <c r="E222" s="61">
        <f>4.0716 * CHOOSE(CONTROL!$C$19, $C$13, 100%, $E$13)</f>
        <v>4.0716000000000001</v>
      </c>
      <c r="F222" s="61">
        <f>4.0716 * CHOOSE(CONTROL!$C$19, $C$13, 100%, $E$13)</f>
        <v>4.0716000000000001</v>
      </c>
      <c r="G222" s="61">
        <f>4.0718 * CHOOSE(CONTROL!$C$19, $C$13, 100%, $E$13)</f>
        <v>4.0717999999999996</v>
      </c>
      <c r="H222" s="61">
        <f>6.3932* CHOOSE(CONTROL!$C$19, $C$13, 100%, $E$13)</f>
        <v>6.3932000000000002</v>
      </c>
      <c r="I222" s="61">
        <f>6.3934 * CHOOSE(CONTROL!$C$19, $C$13, 100%, $E$13)</f>
        <v>6.3933999999999997</v>
      </c>
      <c r="J222" s="61">
        <f>4.0716 * CHOOSE(CONTROL!$C$19, $C$13, 100%, $E$13)</f>
        <v>4.0716000000000001</v>
      </c>
      <c r="K222" s="61">
        <f>4.0718 * CHOOSE(CONTROL!$C$19, $C$13, 100%, $E$13)</f>
        <v>4.0717999999999996</v>
      </c>
    </row>
    <row r="223" spans="1:11" ht="15">
      <c r="A223" s="13">
        <v>48639</v>
      </c>
      <c r="B223" s="60">
        <f>3.8747 * CHOOSE(CONTROL!$C$19, $C$13, 100%, $E$13)</f>
        <v>3.8746999999999998</v>
      </c>
      <c r="C223" s="60">
        <f>3.8747 * CHOOSE(CONTROL!$C$19, $C$13, 100%, $E$13)</f>
        <v>3.8746999999999998</v>
      </c>
      <c r="D223" s="60">
        <f>3.8899 * CHOOSE(CONTROL!$C$19, $C$13, 100%, $E$13)</f>
        <v>3.8898999999999999</v>
      </c>
      <c r="E223" s="61">
        <f>4.1163 * CHOOSE(CONTROL!$C$19, $C$13, 100%, $E$13)</f>
        <v>4.1162999999999998</v>
      </c>
      <c r="F223" s="61">
        <f>4.1163 * CHOOSE(CONTROL!$C$19, $C$13, 100%, $E$13)</f>
        <v>4.1162999999999998</v>
      </c>
      <c r="G223" s="61">
        <f>4.1165 * CHOOSE(CONTROL!$C$19, $C$13, 100%, $E$13)</f>
        <v>4.1165000000000003</v>
      </c>
      <c r="H223" s="61">
        <f>6.4066* CHOOSE(CONTROL!$C$19, $C$13, 100%, $E$13)</f>
        <v>6.4066000000000001</v>
      </c>
      <c r="I223" s="61">
        <f>6.4067 * CHOOSE(CONTROL!$C$19, $C$13, 100%, $E$13)</f>
        <v>6.4066999999999998</v>
      </c>
      <c r="J223" s="61">
        <f>4.1163 * CHOOSE(CONTROL!$C$19, $C$13, 100%, $E$13)</f>
        <v>4.1162999999999998</v>
      </c>
      <c r="K223" s="61">
        <f>4.1165 * CHOOSE(CONTROL!$C$19, $C$13, 100%, $E$13)</f>
        <v>4.1165000000000003</v>
      </c>
    </row>
    <row r="224" spans="1:11" ht="15">
      <c r="A224" s="13">
        <v>48670</v>
      </c>
      <c r="B224" s="60">
        <f>3.8723 * CHOOSE(CONTROL!$C$19, $C$13, 100%, $E$13)</f>
        <v>3.8723000000000001</v>
      </c>
      <c r="C224" s="60">
        <f>3.8723 * CHOOSE(CONTROL!$C$19, $C$13, 100%, $E$13)</f>
        <v>3.8723000000000001</v>
      </c>
      <c r="D224" s="60">
        <f>3.8875 * CHOOSE(CONTROL!$C$19, $C$13, 100%, $E$13)</f>
        <v>3.8875000000000002</v>
      </c>
      <c r="E224" s="61">
        <f>4.1624 * CHOOSE(CONTROL!$C$19, $C$13, 100%, $E$13)</f>
        <v>4.1623999999999999</v>
      </c>
      <c r="F224" s="61">
        <f>4.1624 * CHOOSE(CONTROL!$C$19, $C$13, 100%, $E$13)</f>
        <v>4.1623999999999999</v>
      </c>
      <c r="G224" s="61">
        <f>4.1625 * CHOOSE(CONTROL!$C$19, $C$13, 100%, $E$13)</f>
        <v>4.1624999999999996</v>
      </c>
      <c r="H224" s="61">
        <f>6.4199* CHOOSE(CONTROL!$C$19, $C$13, 100%, $E$13)</f>
        <v>6.4199000000000002</v>
      </c>
      <c r="I224" s="61">
        <f>6.4201 * CHOOSE(CONTROL!$C$19, $C$13, 100%, $E$13)</f>
        <v>6.4200999999999997</v>
      </c>
      <c r="J224" s="61">
        <f>4.1624 * CHOOSE(CONTROL!$C$19, $C$13, 100%, $E$13)</f>
        <v>4.1623999999999999</v>
      </c>
      <c r="K224" s="61">
        <f>4.1625 * CHOOSE(CONTROL!$C$19, $C$13, 100%, $E$13)</f>
        <v>4.1624999999999996</v>
      </c>
    </row>
    <row r="225" spans="1:11" ht="15">
      <c r="A225" s="13">
        <v>48700</v>
      </c>
      <c r="B225" s="60">
        <f>3.8723 * CHOOSE(CONTROL!$C$19, $C$13, 100%, $E$13)</f>
        <v>3.8723000000000001</v>
      </c>
      <c r="C225" s="60">
        <f>3.8723 * CHOOSE(CONTROL!$C$19, $C$13, 100%, $E$13)</f>
        <v>3.8723000000000001</v>
      </c>
      <c r="D225" s="60">
        <f>3.9027 * CHOOSE(CONTROL!$C$19, $C$13, 100%, $E$13)</f>
        <v>3.9026999999999998</v>
      </c>
      <c r="E225" s="61">
        <f>4.1812 * CHOOSE(CONTROL!$C$19, $C$13, 100%, $E$13)</f>
        <v>4.1811999999999996</v>
      </c>
      <c r="F225" s="61">
        <f>4.1812 * CHOOSE(CONTROL!$C$19, $C$13, 100%, $E$13)</f>
        <v>4.1811999999999996</v>
      </c>
      <c r="G225" s="61">
        <f>4.1831 * CHOOSE(CONTROL!$C$19, $C$13, 100%, $E$13)</f>
        <v>4.1830999999999996</v>
      </c>
      <c r="H225" s="61">
        <f>6.4333* CHOOSE(CONTROL!$C$19, $C$13, 100%, $E$13)</f>
        <v>6.4333</v>
      </c>
      <c r="I225" s="61">
        <f>6.4352 * CHOOSE(CONTROL!$C$19, $C$13, 100%, $E$13)</f>
        <v>6.4352</v>
      </c>
      <c r="J225" s="61">
        <f>4.1812 * CHOOSE(CONTROL!$C$19, $C$13, 100%, $E$13)</f>
        <v>4.1811999999999996</v>
      </c>
      <c r="K225" s="61">
        <f>4.1831 * CHOOSE(CONTROL!$C$19, $C$13, 100%, $E$13)</f>
        <v>4.1830999999999996</v>
      </c>
    </row>
    <row r="226" spans="1:11" ht="15">
      <c r="A226" s="13">
        <v>48731</v>
      </c>
      <c r="B226" s="60">
        <f>3.8784 * CHOOSE(CONTROL!$C$19, $C$13, 100%, $E$13)</f>
        <v>3.8784000000000001</v>
      </c>
      <c r="C226" s="60">
        <f>3.8784 * CHOOSE(CONTROL!$C$19, $C$13, 100%, $E$13)</f>
        <v>3.8784000000000001</v>
      </c>
      <c r="D226" s="60">
        <f>3.9087 * CHOOSE(CONTROL!$C$19, $C$13, 100%, $E$13)</f>
        <v>3.9087000000000001</v>
      </c>
      <c r="E226" s="61">
        <f>4.1666 * CHOOSE(CONTROL!$C$19, $C$13, 100%, $E$13)</f>
        <v>4.1665999999999999</v>
      </c>
      <c r="F226" s="61">
        <f>4.1666 * CHOOSE(CONTROL!$C$19, $C$13, 100%, $E$13)</f>
        <v>4.1665999999999999</v>
      </c>
      <c r="G226" s="61">
        <f>4.1685 * CHOOSE(CONTROL!$C$19, $C$13, 100%, $E$13)</f>
        <v>4.1684999999999999</v>
      </c>
      <c r="H226" s="61">
        <f>6.4467* CHOOSE(CONTROL!$C$19, $C$13, 100%, $E$13)</f>
        <v>6.4466999999999999</v>
      </c>
      <c r="I226" s="61">
        <f>6.4486 * CHOOSE(CONTROL!$C$19, $C$13, 100%, $E$13)</f>
        <v>6.4485999999999999</v>
      </c>
      <c r="J226" s="61">
        <f>4.1666 * CHOOSE(CONTROL!$C$19, $C$13, 100%, $E$13)</f>
        <v>4.1665999999999999</v>
      </c>
      <c r="K226" s="61">
        <f>4.1685 * CHOOSE(CONTROL!$C$19, $C$13, 100%, $E$13)</f>
        <v>4.1684999999999999</v>
      </c>
    </row>
    <row r="227" spans="1:11" ht="15">
      <c r="A227" s="13">
        <v>48761</v>
      </c>
      <c r="B227" s="60">
        <f>3.9231 * CHOOSE(CONTROL!$C$19, $C$13, 100%, $E$13)</f>
        <v>3.9230999999999998</v>
      </c>
      <c r="C227" s="60">
        <f>3.9231 * CHOOSE(CONTROL!$C$19, $C$13, 100%, $E$13)</f>
        <v>3.9230999999999998</v>
      </c>
      <c r="D227" s="60">
        <f>3.9535 * CHOOSE(CONTROL!$C$19, $C$13, 100%, $E$13)</f>
        <v>3.9535</v>
      </c>
      <c r="E227" s="61">
        <f>4.2544 * CHOOSE(CONTROL!$C$19, $C$13, 100%, $E$13)</f>
        <v>4.2544000000000004</v>
      </c>
      <c r="F227" s="61">
        <f>4.2544 * CHOOSE(CONTROL!$C$19, $C$13, 100%, $E$13)</f>
        <v>4.2544000000000004</v>
      </c>
      <c r="G227" s="61">
        <f>4.2563 * CHOOSE(CONTROL!$C$19, $C$13, 100%, $E$13)</f>
        <v>4.2563000000000004</v>
      </c>
      <c r="H227" s="61">
        <f>6.4601* CHOOSE(CONTROL!$C$19, $C$13, 100%, $E$13)</f>
        <v>6.4600999999999997</v>
      </c>
      <c r="I227" s="61">
        <f>6.462 * CHOOSE(CONTROL!$C$19, $C$13, 100%, $E$13)</f>
        <v>6.4619999999999997</v>
      </c>
      <c r="J227" s="61">
        <f>4.2544 * CHOOSE(CONTROL!$C$19, $C$13, 100%, $E$13)</f>
        <v>4.2544000000000004</v>
      </c>
      <c r="K227" s="61">
        <f>4.2563 * CHOOSE(CONTROL!$C$19, $C$13, 100%, $E$13)</f>
        <v>4.2563000000000004</v>
      </c>
    </row>
    <row r="228" spans="1:11" ht="15">
      <c r="A228" s="13">
        <v>48792</v>
      </c>
      <c r="B228" s="60">
        <f>3.9298 * CHOOSE(CONTROL!$C$19, $C$13, 100%, $E$13)</f>
        <v>3.9298000000000002</v>
      </c>
      <c r="C228" s="60">
        <f>3.9298 * CHOOSE(CONTROL!$C$19, $C$13, 100%, $E$13)</f>
        <v>3.9298000000000002</v>
      </c>
      <c r="D228" s="60">
        <f>3.9602 * CHOOSE(CONTROL!$C$19, $C$13, 100%, $E$13)</f>
        <v>3.9601999999999999</v>
      </c>
      <c r="E228" s="61">
        <f>4.2025 * CHOOSE(CONTROL!$C$19, $C$13, 100%, $E$13)</f>
        <v>4.2024999999999997</v>
      </c>
      <c r="F228" s="61">
        <f>4.2025 * CHOOSE(CONTROL!$C$19, $C$13, 100%, $E$13)</f>
        <v>4.2024999999999997</v>
      </c>
      <c r="G228" s="61">
        <f>4.2044 * CHOOSE(CONTROL!$C$19, $C$13, 100%, $E$13)</f>
        <v>4.2043999999999997</v>
      </c>
      <c r="H228" s="61">
        <f>6.4736* CHOOSE(CONTROL!$C$19, $C$13, 100%, $E$13)</f>
        <v>6.4736000000000002</v>
      </c>
      <c r="I228" s="61">
        <f>6.4755 * CHOOSE(CONTROL!$C$19, $C$13, 100%, $E$13)</f>
        <v>6.4755000000000003</v>
      </c>
      <c r="J228" s="61">
        <f>4.2025 * CHOOSE(CONTROL!$C$19, $C$13, 100%, $E$13)</f>
        <v>4.2024999999999997</v>
      </c>
      <c r="K228" s="61">
        <f>4.2044 * CHOOSE(CONTROL!$C$19, $C$13, 100%, $E$13)</f>
        <v>4.2043999999999997</v>
      </c>
    </row>
    <row r="229" spans="1:11" ht="15">
      <c r="A229" s="13">
        <v>48823</v>
      </c>
      <c r="B229" s="60">
        <f>3.9268 * CHOOSE(CONTROL!$C$19, $C$13, 100%, $E$13)</f>
        <v>3.9268000000000001</v>
      </c>
      <c r="C229" s="60">
        <f>3.9268 * CHOOSE(CONTROL!$C$19, $C$13, 100%, $E$13)</f>
        <v>3.9268000000000001</v>
      </c>
      <c r="D229" s="60">
        <f>3.9571 * CHOOSE(CONTROL!$C$19, $C$13, 100%, $E$13)</f>
        <v>3.9571000000000001</v>
      </c>
      <c r="E229" s="61">
        <f>4.1941 * CHOOSE(CONTROL!$C$19, $C$13, 100%, $E$13)</f>
        <v>4.1940999999999997</v>
      </c>
      <c r="F229" s="61">
        <f>4.1941 * CHOOSE(CONTROL!$C$19, $C$13, 100%, $E$13)</f>
        <v>4.1940999999999997</v>
      </c>
      <c r="G229" s="61">
        <f>4.196 * CHOOSE(CONTROL!$C$19, $C$13, 100%, $E$13)</f>
        <v>4.1959999999999997</v>
      </c>
      <c r="H229" s="61">
        <f>6.4871* CHOOSE(CONTROL!$C$19, $C$13, 100%, $E$13)</f>
        <v>6.4870999999999999</v>
      </c>
      <c r="I229" s="61">
        <f>6.489 * CHOOSE(CONTROL!$C$19, $C$13, 100%, $E$13)</f>
        <v>6.4889999999999999</v>
      </c>
      <c r="J229" s="61">
        <f>4.1941 * CHOOSE(CONTROL!$C$19, $C$13, 100%, $E$13)</f>
        <v>4.1940999999999997</v>
      </c>
      <c r="K229" s="61">
        <f>4.196 * CHOOSE(CONTROL!$C$19, $C$13, 100%, $E$13)</f>
        <v>4.1959999999999997</v>
      </c>
    </row>
    <row r="230" spans="1:11" ht="15">
      <c r="A230" s="13">
        <v>48853</v>
      </c>
      <c r="B230" s="60">
        <f>3.9217 * CHOOSE(CONTROL!$C$19, $C$13, 100%, $E$13)</f>
        <v>3.9217</v>
      </c>
      <c r="C230" s="60">
        <f>3.9217 * CHOOSE(CONTROL!$C$19, $C$13, 100%, $E$13)</f>
        <v>3.9217</v>
      </c>
      <c r="D230" s="60">
        <f>3.9369 * CHOOSE(CONTROL!$C$19, $C$13, 100%, $E$13)</f>
        <v>3.9369000000000001</v>
      </c>
      <c r="E230" s="61">
        <f>4.2058 * CHOOSE(CONTROL!$C$19, $C$13, 100%, $E$13)</f>
        <v>4.2058</v>
      </c>
      <c r="F230" s="61">
        <f>4.2058 * CHOOSE(CONTROL!$C$19, $C$13, 100%, $E$13)</f>
        <v>4.2058</v>
      </c>
      <c r="G230" s="61">
        <f>4.206 * CHOOSE(CONTROL!$C$19, $C$13, 100%, $E$13)</f>
        <v>4.2060000000000004</v>
      </c>
      <c r="H230" s="61">
        <f>6.5006* CHOOSE(CONTROL!$C$19, $C$13, 100%, $E$13)</f>
        <v>6.5006000000000004</v>
      </c>
      <c r="I230" s="61">
        <f>6.5008 * CHOOSE(CONTROL!$C$19, $C$13, 100%, $E$13)</f>
        <v>6.5007999999999999</v>
      </c>
      <c r="J230" s="61">
        <f>4.2058 * CHOOSE(CONTROL!$C$19, $C$13, 100%, $E$13)</f>
        <v>4.2058</v>
      </c>
      <c r="K230" s="61">
        <f>4.206 * CHOOSE(CONTROL!$C$19, $C$13, 100%, $E$13)</f>
        <v>4.2060000000000004</v>
      </c>
    </row>
    <row r="231" spans="1:11" ht="15">
      <c r="A231" s="13">
        <v>48884</v>
      </c>
      <c r="B231" s="60">
        <f>3.9248 * CHOOSE(CONTROL!$C$19, $C$13, 100%, $E$13)</f>
        <v>3.9247999999999998</v>
      </c>
      <c r="C231" s="60">
        <f>3.9248 * CHOOSE(CONTROL!$C$19, $C$13, 100%, $E$13)</f>
        <v>3.9247999999999998</v>
      </c>
      <c r="D231" s="60">
        <f>3.94 * CHOOSE(CONTROL!$C$19, $C$13, 100%, $E$13)</f>
        <v>3.94</v>
      </c>
      <c r="E231" s="61">
        <f>4.2205 * CHOOSE(CONTROL!$C$19, $C$13, 100%, $E$13)</f>
        <v>4.2205000000000004</v>
      </c>
      <c r="F231" s="61">
        <f>4.2205 * CHOOSE(CONTROL!$C$19, $C$13, 100%, $E$13)</f>
        <v>4.2205000000000004</v>
      </c>
      <c r="G231" s="61">
        <f>4.2207 * CHOOSE(CONTROL!$C$19, $C$13, 100%, $E$13)</f>
        <v>4.2206999999999999</v>
      </c>
      <c r="H231" s="61">
        <f>6.5141* CHOOSE(CONTROL!$C$19, $C$13, 100%, $E$13)</f>
        <v>6.5141</v>
      </c>
      <c r="I231" s="61">
        <f>6.5143 * CHOOSE(CONTROL!$C$19, $C$13, 100%, $E$13)</f>
        <v>6.5143000000000004</v>
      </c>
      <c r="J231" s="61">
        <f>4.2205 * CHOOSE(CONTROL!$C$19, $C$13, 100%, $E$13)</f>
        <v>4.2205000000000004</v>
      </c>
      <c r="K231" s="61">
        <f>4.2207 * CHOOSE(CONTROL!$C$19, $C$13, 100%, $E$13)</f>
        <v>4.2206999999999999</v>
      </c>
    </row>
    <row r="232" spans="1:11" ht="15">
      <c r="A232" s="13">
        <v>48914</v>
      </c>
      <c r="B232" s="60">
        <f>3.9248 * CHOOSE(CONTROL!$C$19, $C$13, 100%, $E$13)</f>
        <v>3.9247999999999998</v>
      </c>
      <c r="C232" s="60">
        <f>3.9248 * CHOOSE(CONTROL!$C$19, $C$13, 100%, $E$13)</f>
        <v>3.9247999999999998</v>
      </c>
      <c r="D232" s="60">
        <f>3.94 * CHOOSE(CONTROL!$C$19, $C$13, 100%, $E$13)</f>
        <v>3.94</v>
      </c>
      <c r="E232" s="61">
        <f>4.189 * CHOOSE(CONTROL!$C$19, $C$13, 100%, $E$13)</f>
        <v>4.1890000000000001</v>
      </c>
      <c r="F232" s="61">
        <f>4.189 * CHOOSE(CONTROL!$C$19, $C$13, 100%, $E$13)</f>
        <v>4.1890000000000001</v>
      </c>
      <c r="G232" s="61">
        <f>4.1892 * CHOOSE(CONTROL!$C$19, $C$13, 100%, $E$13)</f>
        <v>4.1891999999999996</v>
      </c>
      <c r="H232" s="61">
        <f>6.5277* CHOOSE(CONTROL!$C$19, $C$13, 100%, $E$13)</f>
        <v>6.5277000000000003</v>
      </c>
      <c r="I232" s="61">
        <f>6.5279 * CHOOSE(CONTROL!$C$19, $C$13, 100%, $E$13)</f>
        <v>6.5278999999999998</v>
      </c>
      <c r="J232" s="61">
        <f>4.189 * CHOOSE(CONTROL!$C$19, $C$13, 100%, $E$13)</f>
        <v>4.1890000000000001</v>
      </c>
      <c r="K232" s="61">
        <f>4.1892 * CHOOSE(CONTROL!$C$19, $C$13, 100%, $E$13)</f>
        <v>4.1891999999999996</v>
      </c>
    </row>
    <row r="233" spans="1:11" ht="15">
      <c r="A233" s="13">
        <v>48945</v>
      </c>
      <c r="B233" s="60">
        <f>3.9588 * CHOOSE(CONTROL!$C$19, $C$13, 100%, $E$13)</f>
        <v>3.9588000000000001</v>
      </c>
      <c r="C233" s="60">
        <f>3.9588 * CHOOSE(CONTROL!$C$19, $C$13, 100%, $E$13)</f>
        <v>3.9588000000000001</v>
      </c>
      <c r="D233" s="60">
        <f>3.974 * CHOOSE(CONTROL!$C$19, $C$13, 100%, $E$13)</f>
        <v>3.9740000000000002</v>
      </c>
      <c r="E233" s="61">
        <f>4.2511 * CHOOSE(CONTROL!$C$19, $C$13, 100%, $E$13)</f>
        <v>4.2511000000000001</v>
      </c>
      <c r="F233" s="61">
        <f>4.2511 * CHOOSE(CONTROL!$C$19, $C$13, 100%, $E$13)</f>
        <v>4.2511000000000001</v>
      </c>
      <c r="G233" s="61">
        <f>4.2513 * CHOOSE(CONTROL!$C$19, $C$13, 100%, $E$13)</f>
        <v>4.2512999999999996</v>
      </c>
      <c r="H233" s="61">
        <f>6.5413* CHOOSE(CONTROL!$C$19, $C$13, 100%, $E$13)</f>
        <v>6.5412999999999997</v>
      </c>
      <c r="I233" s="61">
        <f>6.5415 * CHOOSE(CONTROL!$C$19, $C$13, 100%, $E$13)</f>
        <v>6.5415000000000001</v>
      </c>
      <c r="J233" s="61">
        <f>4.2511 * CHOOSE(CONTROL!$C$19, $C$13, 100%, $E$13)</f>
        <v>4.2511000000000001</v>
      </c>
      <c r="K233" s="61">
        <f>4.2513 * CHOOSE(CONTROL!$C$19, $C$13, 100%, $E$13)</f>
        <v>4.2512999999999996</v>
      </c>
    </row>
    <row r="234" spans="1:11" ht="15">
      <c r="A234" s="13">
        <v>48976</v>
      </c>
      <c r="B234" s="60">
        <f>3.9558 * CHOOSE(CONTROL!$C$19, $C$13, 100%, $E$13)</f>
        <v>3.9558</v>
      </c>
      <c r="C234" s="60">
        <f>3.9558 * CHOOSE(CONTROL!$C$19, $C$13, 100%, $E$13)</f>
        <v>3.9558</v>
      </c>
      <c r="D234" s="60">
        <f>3.971 * CHOOSE(CONTROL!$C$19, $C$13, 100%, $E$13)</f>
        <v>3.9710000000000001</v>
      </c>
      <c r="E234" s="61">
        <f>4.1879 * CHOOSE(CONTROL!$C$19, $C$13, 100%, $E$13)</f>
        <v>4.1879</v>
      </c>
      <c r="F234" s="61">
        <f>4.1879 * CHOOSE(CONTROL!$C$19, $C$13, 100%, $E$13)</f>
        <v>4.1879</v>
      </c>
      <c r="G234" s="61">
        <f>4.188 * CHOOSE(CONTROL!$C$19, $C$13, 100%, $E$13)</f>
        <v>4.1879999999999997</v>
      </c>
      <c r="H234" s="61">
        <f>6.5549* CHOOSE(CONTROL!$C$19, $C$13, 100%, $E$13)</f>
        <v>6.5548999999999999</v>
      </c>
      <c r="I234" s="61">
        <f>6.5551 * CHOOSE(CONTROL!$C$19, $C$13, 100%, $E$13)</f>
        <v>6.5551000000000004</v>
      </c>
      <c r="J234" s="61">
        <f>4.1879 * CHOOSE(CONTROL!$C$19, $C$13, 100%, $E$13)</f>
        <v>4.1879</v>
      </c>
      <c r="K234" s="61">
        <f>4.188 * CHOOSE(CONTROL!$C$19, $C$13, 100%, $E$13)</f>
        <v>4.1879999999999997</v>
      </c>
    </row>
    <row r="235" spans="1:11" ht="15">
      <c r="A235" s="13">
        <v>49004</v>
      </c>
      <c r="B235" s="60">
        <f>3.9527 * CHOOSE(CONTROL!$C$19, $C$13, 100%, $E$13)</f>
        <v>3.9527000000000001</v>
      </c>
      <c r="C235" s="60">
        <f>3.9527 * CHOOSE(CONTROL!$C$19, $C$13, 100%, $E$13)</f>
        <v>3.9527000000000001</v>
      </c>
      <c r="D235" s="60">
        <f>3.9679 * CHOOSE(CONTROL!$C$19, $C$13, 100%, $E$13)</f>
        <v>3.9679000000000002</v>
      </c>
      <c r="E235" s="61">
        <f>4.234 * CHOOSE(CONTROL!$C$19, $C$13, 100%, $E$13)</f>
        <v>4.234</v>
      </c>
      <c r="F235" s="61">
        <f>4.234 * CHOOSE(CONTROL!$C$19, $C$13, 100%, $E$13)</f>
        <v>4.234</v>
      </c>
      <c r="G235" s="61">
        <f>4.2341 * CHOOSE(CONTROL!$C$19, $C$13, 100%, $E$13)</f>
        <v>4.2340999999999998</v>
      </c>
      <c r="H235" s="61">
        <f>6.5686* CHOOSE(CONTROL!$C$19, $C$13, 100%, $E$13)</f>
        <v>6.5686</v>
      </c>
      <c r="I235" s="61">
        <f>6.5688 * CHOOSE(CONTROL!$C$19, $C$13, 100%, $E$13)</f>
        <v>6.5688000000000004</v>
      </c>
      <c r="J235" s="61">
        <f>4.234 * CHOOSE(CONTROL!$C$19, $C$13, 100%, $E$13)</f>
        <v>4.234</v>
      </c>
      <c r="K235" s="61">
        <f>4.2341 * CHOOSE(CONTROL!$C$19, $C$13, 100%, $E$13)</f>
        <v>4.2340999999999998</v>
      </c>
    </row>
    <row r="236" spans="1:11" ht="15">
      <c r="A236" s="13">
        <v>49035</v>
      </c>
      <c r="B236" s="60">
        <f>3.9504 * CHOOSE(CONTROL!$C$19, $C$13, 100%, $E$13)</f>
        <v>3.9504000000000001</v>
      </c>
      <c r="C236" s="60">
        <f>3.9504 * CHOOSE(CONTROL!$C$19, $C$13, 100%, $E$13)</f>
        <v>3.9504000000000001</v>
      </c>
      <c r="D236" s="60">
        <f>3.9656 * CHOOSE(CONTROL!$C$19, $C$13, 100%, $E$13)</f>
        <v>3.9655999999999998</v>
      </c>
      <c r="E236" s="61">
        <f>4.2815 * CHOOSE(CONTROL!$C$19, $C$13, 100%, $E$13)</f>
        <v>4.2815000000000003</v>
      </c>
      <c r="F236" s="61">
        <f>4.2815 * CHOOSE(CONTROL!$C$19, $C$13, 100%, $E$13)</f>
        <v>4.2815000000000003</v>
      </c>
      <c r="G236" s="61">
        <f>4.2817 * CHOOSE(CONTROL!$C$19, $C$13, 100%, $E$13)</f>
        <v>4.2816999999999998</v>
      </c>
      <c r="H236" s="61">
        <f>6.5823* CHOOSE(CONTROL!$C$19, $C$13, 100%, $E$13)</f>
        <v>6.5823</v>
      </c>
      <c r="I236" s="61">
        <f>6.5824 * CHOOSE(CONTROL!$C$19, $C$13, 100%, $E$13)</f>
        <v>6.5823999999999998</v>
      </c>
      <c r="J236" s="61">
        <f>4.2815 * CHOOSE(CONTROL!$C$19, $C$13, 100%, $E$13)</f>
        <v>4.2815000000000003</v>
      </c>
      <c r="K236" s="61">
        <f>4.2817 * CHOOSE(CONTROL!$C$19, $C$13, 100%, $E$13)</f>
        <v>4.2816999999999998</v>
      </c>
    </row>
    <row r="237" spans="1:11" ht="15">
      <c r="A237" s="13">
        <v>49065</v>
      </c>
      <c r="B237" s="60">
        <f>3.9504 * CHOOSE(CONTROL!$C$19, $C$13, 100%, $E$13)</f>
        <v>3.9504000000000001</v>
      </c>
      <c r="C237" s="60">
        <f>3.9504 * CHOOSE(CONTROL!$C$19, $C$13, 100%, $E$13)</f>
        <v>3.9504000000000001</v>
      </c>
      <c r="D237" s="60">
        <f>3.9808 * CHOOSE(CONTROL!$C$19, $C$13, 100%, $E$13)</f>
        <v>3.9807999999999999</v>
      </c>
      <c r="E237" s="61">
        <f>4.3009 * CHOOSE(CONTROL!$C$19, $C$13, 100%, $E$13)</f>
        <v>4.3009000000000004</v>
      </c>
      <c r="F237" s="61">
        <f>4.3009 * CHOOSE(CONTROL!$C$19, $C$13, 100%, $E$13)</f>
        <v>4.3009000000000004</v>
      </c>
      <c r="G237" s="61">
        <f>4.3028 * CHOOSE(CONTROL!$C$19, $C$13, 100%, $E$13)</f>
        <v>4.3028000000000004</v>
      </c>
      <c r="H237" s="61">
        <f>6.596* CHOOSE(CONTROL!$C$19, $C$13, 100%, $E$13)</f>
        <v>6.5960000000000001</v>
      </c>
      <c r="I237" s="61">
        <f>6.5979 * CHOOSE(CONTROL!$C$19, $C$13, 100%, $E$13)</f>
        <v>6.5979000000000001</v>
      </c>
      <c r="J237" s="61">
        <f>4.3009 * CHOOSE(CONTROL!$C$19, $C$13, 100%, $E$13)</f>
        <v>4.3009000000000004</v>
      </c>
      <c r="K237" s="61">
        <f>4.3028 * CHOOSE(CONTROL!$C$19, $C$13, 100%, $E$13)</f>
        <v>4.3028000000000004</v>
      </c>
    </row>
    <row r="238" spans="1:11" ht="15">
      <c r="A238" s="13">
        <v>49096</v>
      </c>
      <c r="B238" s="60">
        <f>3.9565 * CHOOSE(CONTROL!$C$19, $C$13, 100%, $E$13)</f>
        <v>3.9565000000000001</v>
      </c>
      <c r="C238" s="60">
        <f>3.9565 * CHOOSE(CONTROL!$C$19, $C$13, 100%, $E$13)</f>
        <v>3.9565000000000001</v>
      </c>
      <c r="D238" s="60">
        <f>3.9868 * CHOOSE(CONTROL!$C$19, $C$13, 100%, $E$13)</f>
        <v>3.9868000000000001</v>
      </c>
      <c r="E238" s="61">
        <f>4.2857 * CHOOSE(CONTROL!$C$19, $C$13, 100%, $E$13)</f>
        <v>4.2857000000000003</v>
      </c>
      <c r="F238" s="61">
        <f>4.2857 * CHOOSE(CONTROL!$C$19, $C$13, 100%, $E$13)</f>
        <v>4.2857000000000003</v>
      </c>
      <c r="G238" s="61">
        <f>4.2876 * CHOOSE(CONTROL!$C$19, $C$13, 100%, $E$13)</f>
        <v>4.2876000000000003</v>
      </c>
      <c r="H238" s="61">
        <f>6.6097* CHOOSE(CONTROL!$C$19, $C$13, 100%, $E$13)</f>
        <v>6.6097000000000001</v>
      </c>
      <c r="I238" s="61">
        <f>6.6116 * CHOOSE(CONTROL!$C$19, $C$13, 100%, $E$13)</f>
        <v>6.6116000000000001</v>
      </c>
      <c r="J238" s="61">
        <f>4.2857 * CHOOSE(CONTROL!$C$19, $C$13, 100%, $E$13)</f>
        <v>4.2857000000000003</v>
      </c>
      <c r="K238" s="61">
        <f>4.2876 * CHOOSE(CONTROL!$C$19, $C$13, 100%, $E$13)</f>
        <v>4.2876000000000003</v>
      </c>
    </row>
    <row r="239" spans="1:11" ht="15">
      <c r="A239" s="13">
        <v>49126</v>
      </c>
      <c r="B239" s="60">
        <f>4.0191 * CHOOSE(CONTROL!$C$19, $C$13, 100%, $E$13)</f>
        <v>4.0190999999999999</v>
      </c>
      <c r="C239" s="60">
        <f>4.0191 * CHOOSE(CONTROL!$C$19, $C$13, 100%, $E$13)</f>
        <v>4.0190999999999999</v>
      </c>
      <c r="D239" s="60">
        <f>4.0495 * CHOOSE(CONTROL!$C$19, $C$13, 100%, $E$13)</f>
        <v>4.0495000000000001</v>
      </c>
      <c r="E239" s="61">
        <f>4.3698 * CHOOSE(CONTROL!$C$19, $C$13, 100%, $E$13)</f>
        <v>4.3697999999999997</v>
      </c>
      <c r="F239" s="61">
        <f>4.3698 * CHOOSE(CONTROL!$C$19, $C$13, 100%, $E$13)</f>
        <v>4.3697999999999997</v>
      </c>
      <c r="G239" s="61">
        <f>4.3717 * CHOOSE(CONTROL!$C$19, $C$13, 100%, $E$13)</f>
        <v>4.3716999999999997</v>
      </c>
      <c r="H239" s="61">
        <f>6.6235* CHOOSE(CONTROL!$C$19, $C$13, 100%, $E$13)</f>
        <v>6.6234999999999999</v>
      </c>
      <c r="I239" s="61">
        <f>6.6254 * CHOOSE(CONTROL!$C$19, $C$13, 100%, $E$13)</f>
        <v>6.6254</v>
      </c>
      <c r="J239" s="61">
        <f>4.3698 * CHOOSE(CONTROL!$C$19, $C$13, 100%, $E$13)</f>
        <v>4.3697999999999997</v>
      </c>
      <c r="K239" s="61">
        <f>4.3717 * CHOOSE(CONTROL!$C$19, $C$13, 100%, $E$13)</f>
        <v>4.3716999999999997</v>
      </c>
    </row>
    <row r="240" spans="1:11" ht="15">
      <c r="A240" s="13">
        <v>49157</v>
      </c>
      <c r="B240" s="60">
        <f>4.0258 * CHOOSE(CONTROL!$C$19, $C$13, 100%, $E$13)</f>
        <v>4.0258000000000003</v>
      </c>
      <c r="C240" s="60">
        <f>4.0258 * CHOOSE(CONTROL!$C$19, $C$13, 100%, $E$13)</f>
        <v>4.0258000000000003</v>
      </c>
      <c r="D240" s="60">
        <f>4.0561 * CHOOSE(CONTROL!$C$19, $C$13, 100%, $E$13)</f>
        <v>4.0560999999999998</v>
      </c>
      <c r="E240" s="61">
        <f>4.3162 * CHOOSE(CONTROL!$C$19, $C$13, 100%, $E$13)</f>
        <v>4.3162000000000003</v>
      </c>
      <c r="F240" s="61">
        <f>4.3162 * CHOOSE(CONTROL!$C$19, $C$13, 100%, $E$13)</f>
        <v>4.3162000000000003</v>
      </c>
      <c r="G240" s="61">
        <f>4.3181 * CHOOSE(CONTROL!$C$19, $C$13, 100%, $E$13)</f>
        <v>4.3181000000000003</v>
      </c>
      <c r="H240" s="61">
        <f>6.6373* CHOOSE(CONTROL!$C$19, $C$13, 100%, $E$13)</f>
        <v>6.6372999999999998</v>
      </c>
      <c r="I240" s="61">
        <f>6.6392 * CHOOSE(CONTROL!$C$19, $C$13, 100%, $E$13)</f>
        <v>6.6391999999999998</v>
      </c>
      <c r="J240" s="61">
        <f>4.3162 * CHOOSE(CONTROL!$C$19, $C$13, 100%, $E$13)</f>
        <v>4.3162000000000003</v>
      </c>
      <c r="K240" s="61">
        <f>4.3181 * CHOOSE(CONTROL!$C$19, $C$13, 100%, $E$13)</f>
        <v>4.3181000000000003</v>
      </c>
    </row>
    <row r="241" spans="1:11" ht="15">
      <c r="A241" s="13">
        <v>49188</v>
      </c>
      <c r="B241" s="60">
        <f>4.0227 * CHOOSE(CONTROL!$C$19, $C$13, 100%, $E$13)</f>
        <v>4.0227000000000004</v>
      </c>
      <c r="C241" s="60">
        <f>4.0227 * CHOOSE(CONTROL!$C$19, $C$13, 100%, $E$13)</f>
        <v>4.0227000000000004</v>
      </c>
      <c r="D241" s="60">
        <f>4.0531 * CHOOSE(CONTROL!$C$19, $C$13, 100%, $E$13)</f>
        <v>4.0530999999999997</v>
      </c>
      <c r="E241" s="61">
        <f>4.3077 * CHOOSE(CONTROL!$C$19, $C$13, 100%, $E$13)</f>
        <v>4.3076999999999996</v>
      </c>
      <c r="F241" s="61">
        <f>4.3077 * CHOOSE(CONTROL!$C$19, $C$13, 100%, $E$13)</f>
        <v>4.3076999999999996</v>
      </c>
      <c r="G241" s="61">
        <f>4.3096 * CHOOSE(CONTROL!$C$19, $C$13, 100%, $E$13)</f>
        <v>4.3095999999999997</v>
      </c>
      <c r="H241" s="61">
        <f>6.6511* CHOOSE(CONTROL!$C$19, $C$13, 100%, $E$13)</f>
        <v>6.6510999999999996</v>
      </c>
      <c r="I241" s="61">
        <f>6.653 * CHOOSE(CONTROL!$C$19, $C$13, 100%, $E$13)</f>
        <v>6.6529999999999996</v>
      </c>
      <c r="J241" s="61">
        <f>4.3077 * CHOOSE(CONTROL!$C$19, $C$13, 100%, $E$13)</f>
        <v>4.3076999999999996</v>
      </c>
      <c r="K241" s="61">
        <f>4.3096 * CHOOSE(CONTROL!$C$19, $C$13, 100%, $E$13)</f>
        <v>4.3095999999999997</v>
      </c>
    </row>
    <row r="242" spans="1:11" ht="15">
      <c r="A242" s="13">
        <v>49218</v>
      </c>
      <c r="B242" s="60">
        <f>4.0181 * CHOOSE(CONTROL!$C$19, $C$13, 100%, $E$13)</f>
        <v>4.0180999999999996</v>
      </c>
      <c r="C242" s="60">
        <f>4.0181 * CHOOSE(CONTROL!$C$19, $C$13, 100%, $E$13)</f>
        <v>4.0180999999999996</v>
      </c>
      <c r="D242" s="60">
        <f>4.0332 * CHOOSE(CONTROL!$C$19, $C$13, 100%, $E$13)</f>
        <v>4.0331999999999999</v>
      </c>
      <c r="E242" s="61">
        <f>4.3201 * CHOOSE(CONTROL!$C$19, $C$13, 100%, $E$13)</f>
        <v>4.3201000000000001</v>
      </c>
      <c r="F242" s="61">
        <f>4.3201 * CHOOSE(CONTROL!$C$19, $C$13, 100%, $E$13)</f>
        <v>4.3201000000000001</v>
      </c>
      <c r="G242" s="61">
        <f>4.3203 * CHOOSE(CONTROL!$C$19, $C$13, 100%, $E$13)</f>
        <v>4.3202999999999996</v>
      </c>
      <c r="H242" s="61">
        <f>6.665* CHOOSE(CONTROL!$C$19, $C$13, 100%, $E$13)</f>
        <v>6.665</v>
      </c>
      <c r="I242" s="61">
        <f>6.6651 * CHOOSE(CONTROL!$C$19, $C$13, 100%, $E$13)</f>
        <v>6.6650999999999998</v>
      </c>
      <c r="J242" s="61">
        <f>4.3201 * CHOOSE(CONTROL!$C$19, $C$13, 100%, $E$13)</f>
        <v>4.3201000000000001</v>
      </c>
      <c r="K242" s="61">
        <f>4.3203 * CHOOSE(CONTROL!$C$19, $C$13, 100%, $E$13)</f>
        <v>4.3202999999999996</v>
      </c>
    </row>
    <row r="243" spans="1:11" ht="15">
      <c r="A243" s="13">
        <v>49249</v>
      </c>
      <c r="B243" s="60">
        <f>4.0211 * CHOOSE(CONTROL!$C$19, $C$13, 100%, $E$13)</f>
        <v>4.0210999999999997</v>
      </c>
      <c r="C243" s="60">
        <f>4.0211 * CHOOSE(CONTROL!$C$19, $C$13, 100%, $E$13)</f>
        <v>4.0210999999999997</v>
      </c>
      <c r="D243" s="60">
        <f>4.0363 * CHOOSE(CONTROL!$C$19, $C$13, 100%, $E$13)</f>
        <v>4.0362999999999998</v>
      </c>
      <c r="E243" s="61">
        <f>4.3352 * CHOOSE(CONTROL!$C$19, $C$13, 100%, $E$13)</f>
        <v>4.3352000000000004</v>
      </c>
      <c r="F243" s="61">
        <f>4.3352 * CHOOSE(CONTROL!$C$19, $C$13, 100%, $E$13)</f>
        <v>4.3352000000000004</v>
      </c>
      <c r="G243" s="61">
        <f>4.3354 * CHOOSE(CONTROL!$C$19, $C$13, 100%, $E$13)</f>
        <v>4.3353999999999999</v>
      </c>
      <c r="H243" s="61">
        <f>6.6789* CHOOSE(CONTROL!$C$19, $C$13, 100%, $E$13)</f>
        <v>6.6788999999999996</v>
      </c>
      <c r="I243" s="61">
        <f>6.679 * CHOOSE(CONTROL!$C$19, $C$13, 100%, $E$13)</f>
        <v>6.6790000000000003</v>
      </c>
      <c r="J243" s="61">
        <f>4.3352 * CHOOSE(CONTROL!$C$19, $C$13, 100%, $E$13)</f>
        <v>4.3352000000000004</v>
      </c>
      <c r="K243" s="61">
        <f>4.3354 * CHOOSE(CONTROL!$C$19, $C$13, 100%, $E$13)</f>
        <v>4.3353999999999999</v>
      </c>
    </row>
    <row r="244" spans="1:11" ht="15">
      <c r="A244" s="13">
        <v>49279</v>
      </c>
      <c r="B244" s="60">
        <f>4.0211 * CHOOSE(CONTROL!$C$19, $C$13, 100%, $E$13)</f>
        <v>4.0210999999999997</v>
      </c>
      <c r="C244" s="60">
        <f>4.0211 * CHOOSE(CONTROL!$C$19, $C$13, 100%, $E$13)</f>
        <v>4.0210999999999997</v>
      </c>
      <c r="D244" s="60">
        <f>4.0363 * CHOOSE(CONTROL!$C$19, $C$13, 100%, $E$13)</f>
        <v>4.0362999999999998</v>
      </c>
      <c r="E244" s="61">
        <f>4.3028 * CHOOSE(CONTROL!$C$19, $C$13, 100%, $E$13)</f>
        <v>4.3028000000000004</v>
      </c>
      <c r="F244" s="61">
        <f>4.3028 * CHOOSE(CONTROL!$C$19, $C$13, 100%, $E$13)</f>
        <v>4.3028000000000004</v>
      </c>
      <c r="G244" s="61">
        <f>4.303 * CHOOSE(CONTROL!$C$19, $C$13, 100%, $E$13)</f>
        <v>4.3029999999999999</v>
      </c>
      <c r="H244" s="61">
        <f>6.6928* CHOOSE(CONTROL!$C$19, $C$13, 100%, $E$13)</f>
        <v>6.6928000000000001</v>
      </c>
      <c r="I244" s="61">
        <f>6.6929 * CHOOSE(CONTROL!$C$19, $C$13, 100%, $E$13)</f>
        <v>6.6928999999999998</v>
      </c>
      <c r="J244" s="61">
        <f>4.3028 * CHOOSE(CONTROL!$C$19, $C$13, 100%, $E$13)</f>
        <v>4.3028000000000004</v>
      </c>
      <c r="K244" s="61">
        <f>4.303 * CHOOSE(CONTROL!$C$19, $C$13, 100%, $E$13)</f>
        <v>4.3029999999999999</v>
      </c>
    </row>
    <row r="245" spans="1:11" ht="15">
      <c r="A245" s="13">
        <v>49310</v>
      </c>
      <c r="B245" s="60">
        <f>4.0548 * CHOOSE(CONTROL!$C$19, $C$13, 100%, $E$13)</f>
        <v>4.0548000000000002</v>
      </c>
      <c r="C245" s="60">
        <f>4.0548 * CHOOSE(CONTROL!$C$19, $C$13, 100%, $E$13)</f>
        <v>4.0548000000000002</v>
      </c>
      <c r="D245" s="60">
        <f>4.07 * CHOOSE(CONTROL!$C$19, $C$13, 100%, $E$13)</f>
        <v>4.07</v>
      </c>
      <c r="E245" s="61">
        <f>4.3682 * CHOOSE(CONTROL!$C$19, $C$13, 100%, $E$13)</f>
        <v>4.3681999999999999</v>
      </c>
      <c r="F245" s="61">
        <f>4.3682 * CHOOSE(CONTROL!$C$19, $C$13, 100%, $E$13)</f>
        <v>4.3681999999999999</v>
      </c>
      <c r="G245" s="61">
        <f>4.3683 * CHOOSE(CONTROL!$C$19, $C$13, 100%, $E$13)</f>
        <v>4.3682999999999996</v>
      </c>
      <c r="H245" s="61">
        <f>6.7067* CHOOSE(CONTROL!$C$19, $C$13, 100%, $E$13)</f>
        <v>6.7066999999999997</v>
      </c>
      <c r="I245" s="61">
        <f>6.7069 * CHOOSE(CONTROL!$C$19, $C$13, 100%, $E$13)</f>
        <v>6.7069000000000001</v>
      </c>
      <c r="J245" s="61">
        <f>4.3682 * CHOOSE(CONTROL!$C$19, $C$13, 100%, $E$13)</f>
        <v>4.3681999999999999</v>
      </c>
      <c r="K245" s="61">
        <f>4.3683 * CHOOSE(CONTROL!$C$19, $C$13, 100%, $E$13)</f>
        <v>4.3682999999999996</v>
      </c>
    </row>
    <row r="246" spans="1:11" ht="15">
      <c r="A246" s="13">
        <v>49341</v>
      </c>
      <c r="B246" s="60">
        <f>4.0517 * CHOOSE(CONTROL!$C$19, $C$13, 100%, $E$13)</f>
        <v>4.0517000000000003</v>
      </c>
      <c r="C246" s="60">
        <f>4.0517 * CHOOSE(CONTROL!$C$19, $C$13, 100%, $E$13)</f>
        <v>4.0517000000000003</v>
      </c>
      <c r="D246" s="60">
        <f>4.0669 * CHOOSE(CONTROL!$C$19, $C$13, 100%, $E$13)</f>
        <v>4.0669000000000004</v>
      </c>
      <c r="E246" s="61">
        <f>4.3031 * CHOOSE(CONTROL!$C$19, $C$13, 100%, $E$13)</f>
        <v>4.3030999999999997</v>
      </c>
      <c r="F246" s="61">
        <f>4.3031 * CHOOSE(CONTROL!$C$19, $C$13, 100%, $E$13)</f>
        <v>4.3030999999999997</v>
      </c>
      <c r="G246" s="61">
        <f>4.3032 * CHOOSE(CONTROL!$C$19, $C$13, 100%, $E$13)</f>
        <v>4.3032000000000004</v>
      </c>
      <c r="H246" s="61">
        <f>6.7207* CHOOSE(CONTROL!$C$19, $C$13, 100%, $E$13)</f>
        <v>6.7206999999999999</v>
      </c>
      <c r="I246" s="61">
        <f>6.7209 * CHOOSE(CONTROL!$C$19, $C$13, 100%, $E$13)</f>
        <v>6.7209000000000003</v>
      </c>
      <c r="J246" s="61">
        <f>4.3031 * CHOOSE(CONTROL!$C$19, $C$13, 100%, $E$13)</f>
        <v>4.3030999999999997</v>
      </c>
      <c r="K246" s="61">
        <f>4.3032 * CHOOSE(CONTROL!$C$19, $C$13, 100%, $E$13)</f>
        <v>4.3032000000000004</v>
      </c>
    </row>
    <row r="247" spans="1:11" ht="15">
      <c r="A247" s="13">
        <v>49369</v>
      </c>
      <c r="B247" s="60">
        <f>4.0487 * CHOOSE(CONTROL!$C$19, $C$13, 100%, $E$13)</f>
        <v>4.0487000000000002</v>
      </c>
      <c r="C247" s="60">
        <f>4.0487 * CHOOSE(CONTROL!$C$19, $C$13, 100%, $E$13)</f>
        <v>4.0487000000000002</v>
      </c>
      <c r="D247" s="60">
        <f>4.0639 * CHOOSE(CONTROL!$C$19, $C$13, 100%, $E$13)</f>
        <v>4.0639000000000003</v>
      </c>
      <c r="E247" s="61">
        <f>4.3506 * CHOOSE(CONTROL!$C$19, $C$13, 100%, $E$13)</f>
        <v>4.3506</v>
      </c>
      <c r="F247" s="61">
        <f>4.3506 * CHOOSE(CONTROL!$C$19, $C$13, 100%, $E$13)</f>
        <v>4.3506</v>
      </c>
      <c r="G247" s="61">
        <f>4.3508 * CHOOSE(CONTROL!$C$19, $C$13, 100%, $E$13)</f>
        <v>4.3507999999999996</v>
      </c>
      <c r="H247" s="61">
        <f>6.7347* CHOOSE(CONTROL!$C$19, $C$13, 100%, $E$13)</f>
        <v>6.7347000000000001</v>
      </c>
      <c r="I247" s="61">
        <f>6.7349 * CHOOSE(CONTROL!$C$19, $C$13, 100%, $E$13)</f>
        <v>6.7348999999999997</v>
      </c>
      <c r="J247" s="61">
        <f>4.3506 * CHOOSE(CONTROL!$C$19, $C$13, 100%, $E$13)</f>
        <v>4.3506</v>
      </c>
      <c r="K247" s="61">
        <f>4.3508 * CHOOSE(CONTROL!$C$19, $C$13, 100%, $E$13)</f>
        <v>4.3507999999999996</v>
      </c>
    </row>
    <row r="248" spans="1:11" ht="15">
      <c r="A248" s="13">
        <v>49400</v>
      </c>
      <c r="B248" s="60">
        <f>4.0465 * CHOOSE(CONTROL!$C$19, $C$13, 100%, $E$13)</f>
        <v>4.0465</v>
      </c>
      <c r="C248" s="60">
        <f>4.0465 * CHOOSE(CONTROL!$C$19, $C$13, 100%, $E$13)</f>
        <v>4.0465</v>
      </c>
      <c r="D248" s="60">
        <f>4.0616 * CHOOSE(CONTROL!$C$19, $C$13, 100%, $E$13)</f>
        <v>4.0616000000000003</v>
      </c>
      <c r="E248" s="61">
        <f>4.3997 * CHOOSE(CONTROL!$C$19, $C$13, 100%, $E$13)</f>
        <v>4.3997000000000002</v>
      </c>
      <c r="F248" s="61">
        <f>4.3997 * CHOOSE(CONTROL!$C$19, $C$13, 100%, $E$13)</f>
        <v>4.3997000000000002</v>
      </c>
      <c r="G248" s="61">
        <f>4.3999 * CHOOSE(CONTROL!$C$19, $C$13, 100%, $E$13)</f>
        <v>4.3998999999999997</v>
      </c>
      <c r="H248" s="61">
        <f>6.7487* CHOOSE(CONTROL!$C$19, $C$13, 100%, $E$13)</f>
        <v>6.7487000000000004</v>
      </c>
      <c r="I248" s="61">
        <f>6.7489 * CHOOSE(CONTROL!$C$19, $C$13, 100%, $E$13)</f>
        <v>6.7488999999999999</v>
      </c>
      <c r="J248" s="61">
        <f>4.3997 * CHOOSE(CONTROL!$C$19, $C$13, 100%, $E$13)</f>
        <v>4.3997000000000002</v>
      </c>
      <c r="K248" s="61">
        <f>4.3999 * CHOOSE(CONTROL!$C$19, $C$13, 100%, $E$13)</f>
        <v>4.3998999999999997</v>
      </c>
    </row>
    <row r="249" spans="1:11" ht="15">
      <c r="A249" s="13">
        <v>49430</v>
      </c>
      <c r="B249" s="60">
        <f>4.0465 * CHOOSE(CONTROL!$C$19, $C$13, 100%, $E$13)</f>
        <v>4.0465</v>
      </c>
      <c r="C249" s="60">
        <f>4.0465 * CHOOSE(CONTROL!$C$19, $C$13, 100%, $E$13)</f>
        <v>4.0465</v>
      </c>
      <c r="D249" s="60">
        <f>4.0768 * CHOOSE(CONTROL!$C$19, $C$13, 100%, $E$13)</f>
        <v>4.0768000000000004</v>
      </c>
      <c r="E249" s="61">
        <f>4.4197 * CHOOSE(CONTROL!$C$19, $C$13, 100%, $E$13)</f>
        <v>4.4196999999999997</v>
      </c>
      <c r="F249" s="61">
        <f>4.4197 * CHOOSE(CONTROL!$C$19, $C$13, 100%, $E$13)</f>
        <v>4.4196999999999997</v>
      </c>
      <c r="G249" s="61">
        <f>4.4216 * CHOOSE(CONTROL!$C$19, $C$13, 100%, $E$13)</f>
        <v>4.4215999999999998</v>
      </c>
      <c r="H249" s="61">
        <f>6.7628* CHOOSE(CONTROL!$C$19, $C$13, 100%, $E$13)</f>
        <v>6.7628000000000004</v>
      </c>
      <c r="I249" s="61">
        <f>6.7647 * CHOOSE(CONTROL!$C$19, $C$13, 100%, $E$13)</f>
        <v>6.7647000000000004</v>
      </c>
      <c r="J249" s="61">
        <f>4.4197 * CHOOSE(CONTROL!$C$19, $C$13, 100%, $E$13)</f>
        <v>4.4196999999999997</v>
      </c>
      <c r="K249" s="61">
        <f>4.4216 * CHOOSE(CONTROL!$C$19, $C$13, 100%, $E$13)</f>
        <v>4.4215999999999998</v>
      </c>
    </row>
    <row r="250" spans="1:11" ht="15">
      <c r="A250" s="13">
        <v>49461</v>
      </c>
      <c r="B250" s="60">
        <f>4.0525 * CHOOSE(CONTROL!$C$19, $C$13, 100%, $E$13)</f>
        <v>4.0525000000000002</v>
      </c>
      <c r="C250" s="60">
        <f>4.0525 * CHOOSE(CONTROL!$C$19, $C$13, 100%, $E$13)</f>
        <v>4.0525000000000002</v>
      </c>
      <c r="D250" s="60">
        <f>4.0829 * CHOOSE(CONTROL!$C$19, $C$13, 100%, $E$13)</f>
        <v>4.0829000000000004</v>
      </c>
      <c r="E250" s="61">
        <f>4.4039 * CHOOSE(CONTROL!$C$19, $C$13, 100%, $E$13)</f>
        <v>4.4039000000000001</v>
      </c>
      <c r="F250" s="61">
        <f>4.4039 * CHOOSE(CONTROL!$C$19, $C$13, 100%, $E$13)</f>
        <v>4.4039000000000001</v>
      </c>
      <c r="G250" s="61">
        <f>4.4058 * CHOOSE(CONTROL!$C$19, $C$13, 100%, $E$13)</f>
        <v>4.4058000000000002</v>
      </c>
      <c r="H250" s="61">
        <f>6.7769* CHOOSE(CONTROL!$C$19, $C$13, 100%, $E$13)</f>
        <v>6.7769000000000004</v>
      </c>
      <c r="I250" s="61">
        <f>6.7788 * CHOOSE(CONTROL!$C$19, $C$13, 100%, $E$13)</f>
        <v>6.7788000000000004</v>
      </c>
      <c r="J250" s="61">
        <f>4.4039 * CHOOSE(CONTROL!$C$19, $C$13, 100%, $E$13)</f>
        <v>4.4039000000000001</v>
      </c>
      <c r="K250" s="61">
        <f>4.4058 * CHOOSE(CONTROL!$C$19, $C$13, 100%, $E$13)</f>
        <v>4.4058000000000002</v>
      </c>
    </row>
    <row r="251" spans="1:11" ht="15">
      <c r="A251" s="13">
        <v>49491</v>
      </c>
      <c r="B251" s="60">
        <f>4.1138 * CHOOSE(CONTROL!$C$19, $C$13, 100%, $E$13)</f>
        <v>4.1138000000000003</v>
      </c>
      <c r="C251" s="60">
        <f>4.1138 * CHOOSE(CONTROL!$C$19, $C$13, 100%, $E$13)</f>
        <v>4.1138000000000003</v>
      </c>
      <c r="D251" s="60">
        <f>4.1442 * CHOOSE(CONTROL!$C$19, $C$13, 100%, $E$13)</f>
        <v>4.1441999999999997</v>
      </c>
      <c r="E251" s="61">
        <f>4.4932 * CHOOSE(CONTROL!$C$19, $C$13, 100%, $E$13)</f>
        <v>4.4931999999999999</v>
      </c>
      <c r="F251" s="61">
        <f>4.4932 * CHOOSE(CONTROL!$C$19, $C$13, 100%, $E$13)</f>
        <v>4.4931999999999999</v>
      </c>
      <c r="G251" s="61">
        <f>4.4951 * CHOOSE(CONTROL!$C$19, $C$13, 100%, $E$13)</f>
        <v>4.4950999999999999</v>
      </c>
      <c r="H251" s="61">
        <f>6.791* CHOOSE(CONTROL!$C$19, $C$13, 100%, $E$13)</f>
        <v>6.7910000000000004</v>
      </c>
      <c r="I251" s="61">
        <f>6.7929 * CHOOSE(CONTROL!$C$19, $C$13, 100%, $E$13)</f>
        <v>6.7929000000000004</v>
      </c>
      <c r="J251" s="61">
        <f>4.4932 * CHOOSE(CONTROL!$C$19, $C$13, 100%, $E$13)</f>
        <v>4.4931999999999999</v>
      </c>
      <c r="K251" s="61">
        <f>4.4951 * CHOOSE(CONTROL!$C$19, $C$13, 100%, $E$13)</f>
        <v>4.4950999999999999</v>
      </c>
    </row>
    <row r="252" spans="1:11" ht="15">
      <c r="A252" s="13">
        <v>49522</v>
      </c>
      <c r="B252" s="60">
        <f>4.1205 * CHOOSE(CONTROL!$C$19, $C$13, 100%, $E$13)</f>
        <v>4.1204999999999998</v>
      </c>
      <c r="C252" s="60">
        <f>4.1205 * CHOOSE(CONTROL!$C$19, $C$13, 100%, $E$13)</f>
        <v>4.1204999999999998</v>
      </c>
      <c r="D252" s="60">
        <f>4.1508 * CHOOSE(CONTROL!$C$19, $C$13, 100%, $E$13)</f>
        <v>4.1508000000000003</v>
      </c>
      <c r="E252" s="61">
        <f>4.4378 * CHOOSE(CONTROL!$C$19, $C$13, 100%, $E$13)</f>
        <v>4.4378000000000002</v>
      </c>
      <c r="F252" s="61">
        <f>4.4378 * CHOOSE(CONTROL!$C$19, $C$13, 100%, $E$13)</f>
        <v>4.4378000000000002</v>
      </c>
      <c r="G252" s="61">
        <f>4.4398 * CHOOSE(CONTROL!$C$19, $C$13, 100%, $E$13)</f>
        <v>4.4398</v>
      </c>
      <c r="H252" s="61">
        <f>6.8051* CHOOSE(CONTROL!$C$19, $C$13, 100%, $E$13)</f>
        <v>6.8051000000000004</v>
      </c>
      <c r="I252" s="61">
        <f>6.807 * CHOOSE(CONTROL!$C$19, $C$13, 100%, $E$13)</f>
        <v>6.8070000000000004</v>
      </c>
      <c r="J252" s="61">
        <f>4.4378 * CHOOSE(CONTROL!$C$19, $C$13, 100%, $E$13)</f>
        <v>4.4378000000000002</v>
      </c>
      <c r="K252" s="61">
        <f>4.4398 * CHOOSE(CONTROL!$C$19, $C$13, 100%, $E$13)</f>
        <v>4.4398</v>
      </c>
    </row>
    <row r="253" spans="1:11" ht="15">
      <c r="A253" s="13">
        <v>49553</v>
      </c>
      <c r="B253" s="60">
        <f>4.1174 * CHOOSE(CONTROL!$C$19, $C$13, 100%, $E$13)</f>
        <v>4.1173999999999999</v>
      </c>
      <c r="C253" s="60">
        <f>4.1174 * CHOOSE(CONTROL!$C$19, $C$13, 100%, $E$13)</f>
        <v>4.1173999999999999</v>
      </c>
      <c r="D253" s="60">
        <f>4.1478 * CHOOSE(CONTROL!$C$19, $C$13, 100%, $E$13)</f>
        <v>4.1478000000000002</v>
      </c>
      <c r="E253" s="61">
        <f>4.4291 * CHOOSE(CONTROL!$C$19, $C$13, 100%, $E$13)</f>
        <v>4.4291</v>
      </c>
      <c r="F253" s="61">
        <f>4.4291 * CHOOSE(CONTROL!$C$19, $C$13, 100%, $E$13)</f>
        <v>4.4291</v>
      </c>
      <c r="G253" s="61">
        <f>4.431 * CHOOSE(CONTROL!$C$19, $C$13, 100%, $E$13)</f>
        <v>4.431</v>
      </c>
      <c r="H253" s="61">
        <f>6.8193* CHOOSE(CONTROL!$C$19, $C$13, 100%, $E$13)</f>
        <v>6.8193000000000001</v>
      </c>
      <c r="I253" s="61">
        <f>6.8212 * CHOOSE(CONTROL!$C$19, $C$13, 100%, $E$13)</f>
        <v>6.8212000000000002</v>
      </c>
      <c r="J253" s="61">
        <f>4.4291 * CHOOSE(CONTROL!$C$19, $C$13, 100%, $E$13)</f>
        <v>4.4291</v>
      </c>
      <c r="K253" s="61">
        <f>4.431 * CHOOSE(CONTROL!$C$19, $C$13, 100%, $E$13)</f>
        <v>4.431</v>
      </c>
    </row>
    <row r="254" spans="1:11" ht="15">
      <c r="A254" s="13">
        <v>49583</v>
      </c>
      <c r="B254" s="60">
        <f>4.1131 * CHOOSE(CONTROL!$C$19, $C$13, 100%, $E$13)</f>
        <v>4.1131000000000002</v>
      </c>
      <c r="C254" s="60">
        <f>4.1131 * CHOOSE(CONTROL!$C$19, $C$13, 100%, $E$13)</f>
        <v>4.1131000000000002</v>
      </c>
      <c r="D254" s="60">
        <f>4.1283 * CHOOSE(CONTROL!$C$19, $C$13, 100%, $E$13)</f>
        <v>4.1283000000000003</v>
      </c>
      <c r="E254" s="61">
        <f>4.4423 * CHOOSE(CONTROL!$C$19, $C$13, 100%, $E$13)</f>
        <v>4.4423000000000004</v>
      </c>
      <c r="F254" s="61">
        <f>4.4423 * CHOOSE(CONTROL!$C$19, $C$13, 100%, $E$13)</f>
        <v>4.4423000000000004</v>
      </c>
      <c r="G254" s="61">
        <f>4.4425 * CHOOSE(CONTROL!$C$19, $C$13, 100%, $E$13)</f>
        <v>4.4424999999999999</v>
      </c>
      <c r="H254" s="61">
        <f>6.8335* CHOOSE(CONTROL!$C$19, $C$13, 100%, $E$13)</f>
        <v>6.8334999999999999</v>
      </c>
      <c r="I254" s="61">
        <f>6.8337 * CHOOSE(CONTROL!$C$19, $C$13, 100%, $E$13)</f>
        <v>6.8337000000000003</v>
      </c>
      <c r="J254" s="61">
        <f>4.4423 * CHOOSE(CONTROL!$C$19, $C$13, 100%, $E$13)</f>
        <v>4.4423000000000004</v>
      </c>
      <c r="K254" s="61">
        <f>4.4425 * CHOOSE(CONTROL!$C$19, $C$13, 100%, $E$13)</f>
        <v>4.4424999999999999</v>
      </c>
    </row>
    <row r="255" spans="1:11" ht="15">
      <c r="A255" s="13">
        <v>49614</v>
      </c>
      <c r="B255" s="60">
        <f>4.1162 * CHOOSE(CONTROL!$C$19, $C$13, 100%, $E$13)</f>
        <v>4.1162000000000001</v>
      </c>
      <c r="C255" s="60">
        <f>4.1162 * CHOOSE(CONTROL!$C$19, $C$13, 100%, $E$13)</f>
        <v>4.1162000000000001</v>
      </c>
      <c r="D255" s="60">
        <f>4.1313 * CHOOSE(CONTROL!$C$19, $C$13, 100%, $E$13)</f>
        <v>4.1313000000000004</v>
      </c>
      <c r="E255" s="61">
        <f>4.4578 * CHOOSE(CONTROL!$C$19, $C$13, 100%, $E$13)</f>
        <v>4.4577999999999998</v>
      </c>
      <c r="F255" s="61">
        <f>4.4578 * CHOOSE(CONTROL!$C$19, $C$13, 100%, $E$13)</f>
        <v>4.4577999999999998</v>
      </c>
      <c r="G255" s="61">
        <f>4.4579 * CHOOSE(CONTROL!$C$19, $C$13, 100%, $E$13)</f>
        <v>4.4579000000000004</v>
      </c>
      <c r="H255" s="61">
        <f>6.8478* CHOOSE(CONTROL!$C$19, $C$13, 100%, $E$13)</f>
        <v>6.8478000000000003</v>
      </c>
      <c r="I255" s="61">
        <f>6.8479 * CHOOSE(CONTROL!$C$19, $C$13, 100%, $E$13)</f>
        <v>6.8479000000000001</v>
      </c>
      <c r="J255" s="61">
        <f>4.4578 * CHOOSE(CONTROL!$C$19, $C$13, 100%, $E$13)</f>
        <v>4.4577999999999998</v>
      </c>
      <c r="K255" s="61">
        <f>4.4579 * CHOOSE(CONTROL!$C$19, $C$13, 100%, $E$13)</f>
        <v>4.4579000000000004</v>
      </c>
    </row>
    <row r="256" spans="1:11" ht="15">
      <c r="A256" s="13">
        <v>49644</v>
      </c>
      <c r="B256" s="60">
        <f>4.1162 * CHOOSE(CONTROL!$C$19, $C$13, 100%, $E$13)</f>
        <v>4.1162000000000001</v>
      </c>
      <c r="C256" s="60">
        <f>4.1162 * CHOOSE(CONTROL!$C$19, $C$13, 100%, $E$13)</f>
        <v>4.1162000000000001</v>
      </c>
      <c r="D256" s="60">
        <f>4.1313 * CHOOSE(CONTROL!$C$19, $C$13, 100%, $E$13)</f>
        <v>4.1313000000000004</v>
      </c>
      <c r="E256" s="61">
        <f>4.4244 * CHOOSE(CONTROL!$C$19, $C$13, 100%, $E$13)</f>
        <v>4.4244000000000003</v>
      </c>
      <c r="F256" s="61">
        <f>4.4244 * CHOOSE(CONTROL!$C$19, $C$13, 100%, $E$13)</f>
        <v>4.4244000000000003</v>
      </c>
      <c r="G256" s="61">
        <f>4.4246 * CHOOSE(CONTROL!$C$19, $C$13, 100%, $E$13)</f>
        <v>4.4245999999999999</v>
      </c>
      <c r="H256" s="61">
        <f>6.862* CHOOSE(CONTROL!$C$19, $C$13, 100%, $E$13)</f>
        <v>6.8620000000000001</v>
      </c>
      <c r="I256" s="61">
        <f>6.8622 * CHOOSE(CONTROL!$C$19, $C$13, 100%, $E$13)</f>
        <v>6.8621999999999996</v>
      </c>
      <c r="J256" s="61">
        <f>4.4244 * CHOOSE(CONTROL!$C$19, $C$13, 100%, $E$13)</f>
        <v>4.4244000000000003</v>
      </c>
      <c r="K256" s="61">
        <f>4.4246 * CHOOSE(CONTROL!$C$19, $C$13, 100%, $E$13)</f>
        <v>4.4245999999999999</v>
      </c>
    </row>
    <row r="257" spans="1:11" ht="15">
      <c r="A257" s="13">
        <v>49675</v>
      </c>
      <c r="B257" s="60">
        <f>4.1517 * CHOOSE(CONTROL!$C$19, $C$13, 100%, $E$13)</f>
        <v>4.1516999999999999</v>
      </c>
      <c r="C257" s="60">
        <f>4.1517 * CHOOSE(CONTROL!$C$19, $C$13, 100%, $E$13)</f>
        <v>4.1516999999999999</v>
      </c>
      <c r="D257" s="60">
        <f>4.1669 * CHOOSE(CONTROL!$C$19, $C$13, 100%, $E$13)</f>
        <v>4.1669</v>
      </c>
      <c r="E257" s="61">
        <f>4.4874 * CHOOSE(CONTROL!$C$19, $C$13, 100%, $E$13)</f>
        <v>4.4874000000000001</v>
      </c>
      <c r="F257" s="61">
        <f>4.4874 * CHOOSE(CONTROL!$C$19, $C$13, 100%, $E$13)</f>
        <v>4.4874000000000001</v>
      </c>
      <c r="G257" s="61">
        <f>4.4876 * CHOOSE(CONTROL!$C$19, $C$13, 100%, $E$13)</f>
        <v>4.4875999999999996</v>
      </c>
      <c r="H257" s="61">
        <f>6.8763* CHOOSE(CONTROL!$C$19, $C$13, 100%, $E$13)</f>
        <v>6.8762999999999996</v>
      </c>
      <c r="I257" s="61">
        <f>6.8765 * CHOOSE(CONTROL!$C$19, $C$13, 100%, $E$13)</f>
        <v>6.8765000000000001</v>
      </c>
      <c r="J257" s="61">
        <f>4.4874 * CHOOSE(CONTROL!$C$19, $C$13, 100%, $E$13)</f>
        <v>4.4874000000000001</v>
      </c>
      <c r="K257" s="61">
        <f>4.4876 * CHOOSE(CONTROL!$C$19, $C$13, 100%, $E$13)</f>
        <v>4.4875999999999996</v>
      </c>
    </row>
    <row r="258" spans="1:11" ht="15">
      <c r="A258" s="13">
        <v>49706</v>
      </c>
      <c r="B258" s="60">
        <f>4.1486 * CHOOSE(CONTROL!$C$19, $C$13, 100%, $E$13)</f>
        <v>4.1486000000000001</v>
      </c>
      <c r="C258" s="60">
        <f>4.1486 * CHOOSE(CONTROL!$C$19, $C$13, 100%, $E$13)</f>
        <v>4.1486000000000001</v>
      </c>
      <c r="D258" s="60">
        <f>4.1638 * CHOOSE(CONTROL!$C$19, $C$13, 100%, $E$13)</f>
        <v>4.1638000000000002</v>
      </c>
      <c r="E258" s="61">
        <f>4.4208 * CHOOSE(CONTROL!$C$19, $C$13, 100%, $E$13)</f>
        <v>4.4207999999999998</v>
      </c>
      <c r="F258" s="61">
        <f>4.4208 * CHOOSE(CONTROL!$C$19, $C$13, 100%, $E$13)</f>
        <v>4.4207999999999998</v>
      </c>
      <c r="G258" s="61">
        <f>4.4209 * CHOOSE(CONTROL!$C$19, $C$13, 100%, $E$13)</f>
        <v>4.4208999999999996</v>
      </c>
      <c r="H258" s="61">
        <f>6.8906* CHOOSE(CONTROL!$C$19, $C$13, 100%, $E$13)</f>
        <v>6.8906000000000001</v>
      </c>
      <c r="I258" s="61">
        <f>6.8908 * CHOOSE(CONTROL!$C$19, $C$13, 100%, $E$13)</f>
        <v>6.8907999999999996</v>
      </c>
      <c r="J258" s="61">
        <f>4.4208 * CHOOSE(CONTROL!$C$19, $C$13, 100%, $E$13)</f>
        <v>4.4207999999999998</v>
      </c>
      <c r="K258" s="61">
        <f>4.4209 * CHOOSE(CONTROL!$C$19, $C$13, 100%, $E$13)</f>
        <v>4.4208999999999996</v>
      </c>
    </row>
    <row r="259" spans="1:11" ht="15">
      <c r="A259" s="13">
        <v>49735</v>
      </c>
      <c r="B259" s="60">
        <f>4.1456 * CHOOSE(CONTROL!$C$19, $C$13, 100%, $E$13)</f>
        <v>4.1456</v>
      </c>
      <c r="C259" s="60">
        <f>4.1456 * CHOOSE(CONTROL!$C$19, $C$13, 100%, $E$13)</f>
        <v>4.1456</v>
      </c>
      <c r="D259" s="60">
        <f>4.1608 * CHOOSE(CONTROL!$C$19, $C$13, 100%, $E$13)</f>
        <v>4.1608000000000001</v>
      </c>
      <c r="E259" s="61">
        <f>4.4695 * CHOOSE(CONTROL!$C$19, $C$13, 100%, $E$13)</f>
        <v>4.4695</v>
      </c>
      <c r="F259" s="61">
        <f>4.4695 * CHOOSE(CONTROL!$C$19, $C$13, 100%, $E$13)</f>
        <v>4.4695</v>
      </c>
      <c r="G259" s="61">
        <f>4.4697 * CHOOSE(CONTROL!$C$19, $C$13, 100%, $E$13)</f>
        <v>4.4696999999999996</v>
      </c>
      <c r="H259" s="61">
        <f>6.905* CHOOSE(CONTROL!$C$19, $C$13, 100%, $E$13)</f>
        <v>6.9050000000000002</v>
      </c>
      <c r="I259" s="61">
        <f>6.9052 * CHOOSE(CONTROL!$C$19, $C$13, 100%, $E$13)</f>
        <v>6.9051999999999998</v>
      </c>
      <c r="J259" s="61">
        <f>4.4695 * CHOOSE(CONTROL!$C$19, $C$13, 100%, $E$13)</f>
        <v>4.4695</v>
      </c>
      <c r="K259" s="61">
        <f>4.4697 * CHOOSE(CONTROL!$C$19, $C$13, 100%, $E$13)</f>
        <v>4.4696999999999996</v>
      </c>
    </row>
    <row r="260" spans="1:11" ht="15">
      <c r="A260" s="13">
        <v>49766</v>
      </c>
      <c r="B260" s="60">
        <f>4.1434 * CHOOSE(CONTROL!$C$19, $C$13, 100%, $E$13)</f>
        <v>4.1433999999999997</v>
      </c>
      <c r="C260" s="60">
        <f>4.1434 * CHOOSE(CONTROL!$C$19, $C$13, 100%, $E$13)</f>
        <v>4.1433999999999997</v>
      </c>
      <c r="D260" s="60">
        <f>4.1586 * CHOOSE(CONTROL!$C$19, $C$13, 100%, $E$13)</f>
        <v>4.1585999999999999</v>
      </c>
      <c r="E260" s="61">
        <f>4.52 * CHOOSE(CONTROL!$C$19, $C$13, 100%, $E$13)</f>
        <v>4.5199999999999996</v>
      </c>
      <c r="F260" s="61">
        <f>4.52 * CHOOSE(CONTROL!$C$19, $C$13, 100%, $E$13)</f>
        <v>4.5199999999999996</v>
      </c>
      <c r="G260" s="61">
        <f>4.5201 * CHOOSE(CONTROL!$C$19, $C$13, 100%, $E$13)</f>
        <v>4.5201000000000002</v>
      </c>
      <c r="H260" s="61">
        <f>6.9194* CHOOSE(CONTROL!$C$19, $C$13, 100%, $E$13)</f>
        <v>6.9194000000000004</v>
      </c>
      <c r="I260" s="61">
        <f>6.9196 * CHOOSE(CONTROL!$C$19, $C$13, 100%, $E$13)</f>
        <v>6.9196</v>
      </c>
      <c r="J260" s="61">
        <f>4.52 * CHOOSE(CONTROL!$C$19, $C$13, 100%, $E$13)</f>
        <v>4.5199999999999996</v>
      </c>
      <c r="K260" s="61">
        <f>4.5201 * CHOOSE(CONTROL!$C$19, $C$13, 100%, $E$13)</f>
        <v>4.5201000000000002</v>
      </c>
    </row>
    <row r="261" spans="1:11" ht="15">
      <c r="A261" s="13">
        <v>49796</v>
      </c>
      <c r="B261" s="60">
        <f>4.1434 * CHOOSE(CONTROL!$C$19, $C$13, 100%, $E$13)</f>
        <v>4.1433999999999997</v>
      </c>
      <c r="C261" s="60">
        <f>4.1434 * CHOOSE(CONTROL!$C$19, $C$13, 100%, $E$13)</f>
        <v>4.1433999999999997</v>
      </c>
      <c r="D261" s="60">
        <f>4.1738 * CHOOSE(CONTROL!$C$19, $C$13, 100%, $E$13)</f>
        <v>4.1738</v>
      </c>
      <c r="E261" s="61">
        <f>4.5405 * CHOOSE(CONTROL!$C$19, $C$13, 100%, $E$13)</f>
        <v>4.5404999999999998</v>
      </c>
      <c r="F261" s="61">
        <f>4.5405 * CHOOSE(CONTROL!$C$19, $C$13, 100%, $E$13)</f>
        <v>4.5404999999999998</v>
      </c>
      <c r="G261" s="61">
        <f>4.5424 * CHOOSE(CONTROL!$C$19, $C$13, 100%, $E$13)</f>
        <v>4.5423999999999998</v>
      </c>
      <c r="H261" s="61">
        <f>6.9338* CHOOSE(CONTROL!$C$19, $C$13, 100%, $E$13)</f>
        <v>6.9337999999999997</v>
      </c>
      <c r="I261" s="61">
        <f>6.9357 * CHOOSE(CONTROL!$C$19, $C$13, 100%, $E$13)</f>
        <v>6.9356999999999998</v>
      </c>
      <c r="J261" s="61">
        <f>4.5405 * CHOOSE(CONTROL!$C$19, $C$13, 100%, $E$13)</f>
        <v>4.5404999999999998</v>
      </c>
      <c r="K261" s="61">
        <f>4.5424 * CHOOSE(CONTROL!$C$19, $C$13, 100%, $E$13)</f>
        <v>4.5423999999999998</v>
      </c>
    </row>
    <row r="262" spans="1:11" ht="15">
      <c r="A262" s="13">
        <v>49827</v>
      </c>
      <c r="B262" s="60">
        <f>4.1495 * CHOOSE(CONTROL!$C$19, $C$13, 100%, $E$13)</f>
        <v>4.1494999999999997</v>
      </c>
      <c r="C262" s="60">
        <f>4.1495 * CHOOSE(CONTROL!$C$19, $C$13, 100%, $E$13)</f>
        <v>4.1494999999999997</v>
      </c>
      <c r="D262" s="60">
        <f>4.1799 * CHOOSE(CONTROL!$C$19, $C$13, 100%, $E$13)</f>
        <v>4.1798999999999999</v>
      </c>
      <c r="E262" s="61">
        <f>4.5242 * CHOOSE(CONTROL!$C$19, $C$13, 100%, $E$13)</f>
        <v>4.5242000000000004</v>
      </c>
      <c r="F262" s="61">
        <f>4.5242 * CHOOSE(CONTROL!$C$19, $C$13, 100%, $E$13)</f>
        <v>4.5242000000000004</v>
      </c>
      <c r="G262" s="61">
        <f>4.5261 * CHOOSE(CONTROL!$C$19, $C$13, 100%, $E$13)</f>
        <v>4.5260999999999996</v>
      </c>
      <c r="H262" s="61">
        <f>6.9482* CHOOSE(CONTROL!$C$19, $C$13, 100%, $E$13)</f>
        <v>6.9481999999999999</v>
      </c>
      <c r="I262" s="61">
        <f>6.9501 * CHOOSE(CONTROL!$C$19, $C$13, 100%, $E$13)</f>
        <v>6.9500999999999999</v>
      </c>
      <c r="J262" s="61">
        <f>4.5242 * CHOOSE(CONTROL!$C$19, $C$13, 100%, $E$13)</f>
        <v>4.5242000000000004</v>
      </c>
      <c r="K262" s="61">
        <f>4.5261 * CHOOSE(CONTROL!$C$19, $C$13, 100%, $E$13)</f>
        <v>4.5260999999999996</v>
      </c>
    </row>
    <row r="263" spans="1:11" ht="15">
      <c r="A263" s="13">
        <v>49857</v>
      </c>
      <c r="B263" s="60">
        <f>4.2149 * CHOOSE(CONTROL!$C$19, $C$13, 100%, $E$13)</f>
        <v>4.2149000000000001</v>
      </c>
      <c r="C263" s="60">
        <f>4.2149 * CHOOSE(CONTROL!$C$19, $C$13, 100%, $E$13)</f>
        <v>4.2149000000000001</v>
      </c>
      <c r="D263" s="60">
        <f>4.2453 * CHOOSE(CONTROL!$C$19, $C$13, 100%, $E$13)</f>
        <v>4.2453000000000003</v>
      </c>
      <c r="E263" s="61">
        <f>4.6138 * CHOOSE(CONTROL!$C$19, $C$13, 100%, $E$13)</f>
        <v>4.6138000000000003</v>
      </c>
      <c r="F263" s="61">
        <f>4.6138 * CHOOSE(CONTROL!$C$19, $C$13, 100%, $E$13)</f>
        <v>4.6138000000000003</v>
      </c>
      <c r="G263" s="61">
        <f>4.6157 * CHOOSE(CONTROL!$C$19, $C$13, 100%, $E$13)</f>
        <v>4.6157000000000004</v>
      </c>
      <c r="H263" s="61">
        <f>6.9627* CHOOSE(CONTROL!$C$19, $C$13, 100%, $E$13)</f>
        <v>6.9626999999999999</v>
      </c>
      <c r="I263" s="61">
        <f>6.9646 * CHOOSE(CONTROL!$C$19, $C$13, 100%, $E$13)</f>
        <v>6.9645999999999999</v>
      </c>
      <c r="J263" s="61">
        <f>4.6138 * CHOOSE(CONTROL!$C$19, $C$13, 100%, $E$13)</f>
        <v>4.6138000000000003</v>
      </c>
      <c r="K263" s="61">
        <f>4.6157 * CHOOSE(CONTROL!$C$19, $C$13, 100%, $E$13)</f>
        <v>4.6157000000000004</v>
      </c>
    </row>
    <row r="264" spans="1:11" ht="15">
      <c r="A264" s="13">
        <v>49888</v>
      </c>
      <c r="B264" s="60">
        <f>4.2216 * CHOOSE(CONTROL!$C$19, $C$13, 100%, $E$13)</f>
        <v>4.2215999999999996</v>
      </c>
      <c r="C264" s="60">
        <f>4.2216 * CHOOSE(CONTROL!$C$19, $C$13, 100%, $E$13)</f>
        <v>4.2215999999999996</v>
      </c>
      <c r="D264" s="60">
        <f>4.252 * CHOOSE(CONTROL!$C$19, $C$13, 100%, $E$13)</f>
        <v>4.2519999999999998</v>
      </c>
      <c r="E264" s="61">
        <f>4.557 * CHOOSE(CONTROL!$C$19, $C$13, 100%, $E$13)</f>
        <v>4.5570000000000004</v>
      </c>
      <c r="F264" s="61">
        <f>4.557 * CHOOSE(CONTROL!$C$19, $C$13, 100%, $E$13)</f>
        <v>4.5570000000000004</v>
      </c>
      <c r="G264" s="61">
        <f>4.5589 * CHOOSE(CONTROL!$C$19, $C$13, 100%, $E$13)</f>
        <v>4.5589000000000004</v>
      </c>
      <c r="H264" s="61">
        <f>6.9772* CHOOSE(CONTROL!$C$19, $C$13, 100%, $E$13)</f>
        <v>6.9771999999999998</v>
      </c>
      <c r="I264" s="61">
        <f>6.9791 * CHOOSE(CONTROL!$C$19, $C$13, 100%, $E$13)</f>
        <v>6.9790999999999999</v>
      </c>
      <c r="J264" s="61">
        <f>4.557 * CHOOSE(CONTROL!$C$19, $C$13, 100%, $E$13)</f>
        <v>4.5570000000000004</v>
      </c>
      <c r="K264" s="61">
        <f>4.5589 * CHOOSE(CONTROL!$C$19, $C$13, 100%, $E$13)</f>
        <v>4.5589000000000004</v>
      </c>
    </row>
    <row r="265" spans="1:11" ht="15">
      <c r="A265" s="13">
        <v>49919</v>
      </c>
      <c r="B265" s="60">
        <f>4.2186 * CHOOSE(CONTROL!$C$19, $C$13, 100%, $E$13)</f>
        <v>4.2186000000000003</v>
      </c>
      <c r="C265" s="60">
        <f>4.2186 * CHOOSE(CONTROL!$C$19, $C$13, 100%, $E$13)</f>
        <v>4.2186000000000003</v>
      </c>
      <c r="D265" s="60">
        <f>4.249 * CHOOSE(CONTROL!$C$19, $C$13, 100%, $E$13)</f>
        <v>4.2489999999999997</v>
      </c>
      <c r="E265" s="61">
        <f>4.548 * CHOOSE(CONTROL!$C$19, $C$13, 100%, $E$13)</f>
        <v>4.548</v>
      </c>
      <c r="F265" s="61">
        <f>4.548 * CHOOSE(CONTROL!$C$19, $C$13, 100%, $E$13)</f>
        <v>4.548</v>
      </c>
      <c r="G265" s="61">
        <f>4.5499 * CHOOSE(CONTROL!$C$19, $C$13, 100%, $E$13)</f>
        <v>4.5499000000000001</v>
      </c>
      <c r="H265" s="61">
        <f>6.9918* CHOOSE(CONTROL!$C$19, $C$13, 100%, $E$13)</f>
        <v>6.9917999999999996</v>
      </c>
      <c r="I265" s="61">
        <f>6.9937 * CHOOSE(CONTROL!$C$19, $C$13, 100%, $E$13)</f>
        <v>6.9936999999999996</v>
      </c>
      <c r="J265" s="61">
        <f>4.548 * CHOOSE(CONTROL!$C$19, $C$13, 100%, $E$13)</f>
        <v>4.548</v>
      </c>
      <c r="K265" s="61">
        <f>4.5499 * CHOOSE(CONTROL!$C$19, $C$13, 100%, $E$13)</f>
        <v>4.5499000000000001</v>
      </c>
    </row>
    <row r="266" spans="1:11" ht="15">
      <c r="A266" s="13">
        <v>49949</v>
      </c>
      <c r="B266" s="60">
        <f>4.2146 * CHOOSE(CONTROL!$C$19, $C$13, 100%, $E$13)</f>
        <v>4.2145999999999999</v>
      </c>
      <c r="C266" s="60">
        <f>4.2146 * CHOOSE(CONTROL!$C$19, $C$13, 100%, $E$13)</f>
        <v>4.2145999999999999</v>
      </c>
      <c r="D266" s="60">
        <f>4.2298 * CHOOSE(CONTROL!$C$19, $C$13, 100%, $E$13)</f>
        <v>4.2298</v>
      </c>
      <c r="E266" s="61">
        <f>4.5619 * CHOOSE(CONTROL!$C$19, $C$13, 100%, $E$13)</f>
        <v>4.5618999999999996</v>
      </c>
      <c r="F266" s="61">
        <f>4.5619 * CHOOSE(CONTROL!$C$19, $C$13, 100%, $E$13)</f>
        <v>4.5618999999999996</v>
      </c>
      <c r="G266" s="61">
        <f>4.5621 * CHOOSE(CONTROL!$C$19, $C$13, 100%, $E$13)</f>
        <v>4.5621</v>
      </c>
      <c r="H266" s="61">
        <f>7.0063* CHOOSE(CONTROL!$C$19, $C$13, 100%, $E$13)</f>
        <v>7.0063000000000004</v>
      </c>
      <c r="I266" s="61">
        <f>7.0065 * CHOOSE(CONTROL!$C$19, $C$13, 100%, $E$13)</f>
        <v>7.0065</v>
      </c>
      <c r="J266" s="61">
        <f>4.5619 * CHOOSE(CONTROL!$C$19, $C$13, 100%, $E$13)</f>
        <v>4.5618999999999996</v>
      </c>
      <c r="K266" s="61">
        <f>4.5621 * CHOOSE(CONTROL!$C$19, $C$13, 100%, $E$13)</f>
        <v>4.5621</v>
      </c>
    </row>
    <row r="267" spans="1:11" ht="15">
      <c r="A267" s="13">
        <v>49980</v>
      </c>
      <c r="B267" s="60">
        <f>4.2177 * CHOOSE(CONTROL!$C$19, $C$13, 100%, $E$13)</f>
        <v>4.2176999999999998</v>
      </c>
      <c r="C267" s="60">
        <f>4.2177 * CHOOSE(CONTROL!$C$19, $C$13, 100%, $E$13)</f>
        <v>4.2176999999999998</v>
      </c>
      <c r="D267" s="60">
        <f>4.2329 * CHOOSE(CONTROL!$C$19, $C$13, 100%, $E$13)</f>
        <v>4.2328999999999999</v>
      </c>
      <c r="E267" s="61">
        <f>4.5777 * CHOOSE(CONTROL!$C$19, $C$13, 100%, $E$13)</f>
        <v>4.5777000000000001</v>
      </c>
      <c r="F267" s="61">
        <f>4.5777 * CHOOSE(CONTROL!$C$19, $C$13, 100%, $E$13)</f>
        <v>4.5777000000000001</v>
      </c>
      <c r="G267" s="61">
        <f>4.5779 * CHOOSE(CONTROL!$C$19, $C$13, 100%, $E$13)</f>
        <v>4.5778999999999996</v>
      </c>
      <c r="H267" s="61">
        <f>7.0209* CHOOSE(CONTROL!$C$19, $C$13, 100%, $E$13)</f>
        <v>7.0209000000000001</v>
      </c>
      <c r="I267" s="61">
        <f>7.0211 * CHOOSE(CONTROL!$C$19, $C$13, 100%, $E$13)</f>
        <v>7.0210999999999997</v>
      </c>
      <c r="J267" s="61">
        <f>4.5777 * CHOOSE(CONTROL!$C$19, $C$13, 100%, $E$13)</f>
        <v>4.5777000000000001</v>
      </c>
      <c r="K267" s="61">
        <f>4.5779 * CHOOSE(CONTROL!$C$19, $C$13, 100%, $E$13)</f>
        <v>4.5778999999999996</v>
      </c>
    </row>
    <row r="268" spans="1:11" ht="15">
      <c r="A268" s="13">
        <v>50010</v>
      </c>
      <c r="B268" s="60">
        <f>4.2177 * CHOOSE(CONTROL!$C$19, $C$13, 100%, $E$13)</f>
        <v>4.2176999999999998</v>
      </c>
      <c r="C268" s="60">
        <f>4.2177 * CHOOSE(CONTROL!$C$19, $C$13, 100%, $E$13)</f>
        <v>4.2176999999999998</v>
      </c>
      <c r="D268" s="60">
        <f>4.2329 * CHOOSE(CONTROL!$C$19, $C$13, 100%, $E$13)</f>
        <v>4.2328999999999999</v>
      </c>
      <c r="E268" s="61">
        <f>4.5436 * CHOOSE(CONTROL!$C$19, $C$13, 100%, $E$13)</f>
        <v>4.5435999999999996</v>
      </c>
      <c r="F268" s="61">
        <f>4.5436 * CHOOSE(CONTROL!$C$19, $C$13, 100%, $E$13)</f>
        <v>4.5435999999999996</v>
      </c>
      <c r="G268" s="61">
        <f>4.5437 * CHOOSE(CONTROL!$C$19, $C$13, 100%, $E$13)</f>
        <v>4.5437000000000003</v>
      </c>
      <c r="H268" s="61">
        <f>7.0355* CHOOSE(CONTROL!$C$19, $C$13, 100%, $E$13)</f>
        <v>7.0354999999999999</v>
      </c>
      <c r="I268" s="61">
        <f>7.0357 * CHOOSE(CONTROL!$C$19, $C$13, 100%, $E$13)</f>
        <v>7.0357000000000003</v>
      </c>
      <c r="J268" s="61">
        <f>4.5436 * CHOOSE(CONTROL!$C$19, $C$13, 100%, $E$13)</f>
        <v>4.5435999999999996</v>
      </c>
      <c r="K268" s="61">
        <f>4.5437 * CHOOSE(CONTROL!$C$19, $C$13, 100%, $E$13)</f>
        <v>4.5437000000000003</v>
      </c>
    </row>
    <row r="269" spans="1:11" ht="15">
      <c r="A269" s="13">
        <v>50041</v>
      </c>
      <c r="B269" s="60">
        <f>4.2529 * CHOOSE(CONTROL!$C$19, $C$13, 100%, $E$13)</f>
        <v>4.2529000000000003</v>
      </c>
      <c r="C269" s="60">
        <f>4.2529 * CHOOSE(CONTROL!$C$19, $C$13, 100%, $E$13)</f>
        <v>4.2529000000000003</v>
      </c>
      <c r="D269" s="60">
        <f>4.2681 * CHOOSE(CONTROL!$C$19, $C$13, 100%, $E$13)</f>
        <v>4.2680999999999996</v>
      </c>
      <c r="E269" s="61">
        <f>4.6099 * CHOOSE(CONTROL!$C$19, $C$13, 100%, $E$13)</f>
        <v>4.6098999999999997</v>
      </c>
      <c r="F269" s="61">
        <f>4.6099 * CHOOSE(CONTROL!$C$19, $C$13, 100%, $E$13)</f>
        <v>4.6098999999999997</v>
      </c>
      <c r="G269" s="61">
        <f>4.6101 * CHOOSE(CONTROL!$C$19, $C$13, 100%, $E$13)</f>
        <v>4.6101000000000001</v>
      </c>
      <c r="H269" s="61">
        <f>7.0502* CHOOSE(CONTROL!$C$19, $C$13, 100%, $E$13)</f>
        <v>7.0502000000000002</v>
      </c>
      <c r="I269" s="61">
        <f>7.0504 * CHOOSE(CONTROL!$C$19, $C$13, 100%, $E$13)</f>
        <v>7.0503999999999998</v>
      </c>
      <c r="J269" s="61">
        <f>4.6099 * CHOOSE(CONTROL!$C$19, $C$13, 100%, $E$13)</f>
        <v>4.6098999999999997</v>
      </c>
      <c r="K269" s="61">
        <f>4.6101 * CHOOSE(CONTROL!$C$19, $C$13, 100%, $E$13)</f>
        <v>4.6101000000000001</v>
      </c>
    </row>
    <row r="270" spans="1:11" ht="15">
      <c r="A270" s="13">
        <v>50072</v>
      </c>
      <c r="B270" s="60">
        <f>4.2499 * CHOOSE(CONTROL!$C$19, $C$13, 100%, $E$13)</f>
        <v>4.2499000000000002</v>
      </c>
      <c r="C270" s="60">
        <f>4.2499 * CHOOSE(CONTROL!$C$19, $C$13, 100%, $E$13)</f>
        <v>4.2499000000000002</v>
      </c>
      <c r="D270" s="60">
        <f>4.2651 * CHOOSE(CONTROL!$C$19, $C$13, 100%, $E$13)</f>
        <v>4.2651000000000003</v>
      </c>
      <c r="E270" s="61">
        <f>4.5415 * CHOOSE(CONTROL!$C$19, $C$13, 100%, $E$13)</f>
        <v>4.5415000000000001</v>
      </c>
      <c r="F270" s="61">
        <f>4.5415 * CHOOSE(CONTROL!$C$19, $C$13, 100%, $E$13)</f>
        <v>4.5415000000000001</v>
      </c>
      <c r="G270" s="61">
        <f>4.5416 * CHOOSE(CONTROL!$C$19, $C$13, 100%, $E$13)</f>
        <v>4.5415999999999999</v>
      </c>
      <c r="H270" s="61">
        <f>7.0649* CHOOSE(CONTROL!$C$19, $C$13, 100%, $E$13)</f>
        <v>7.0648999999999997</v>
      </c>
      <c r="I270" s="61">
        <f>7.0651 * CHOOSE(CONTROL!$C$19, $C$13, 100%, $E$13)</f>
        <v>7.0651000000000002</v>
      </c>
      <c r="J270" s="61">
        <f>4.5415 * CHOOSE(CONTROL!$C$19, $C$13, 100%, $E$13)</f>
        <v>4.5415000000000001</v>
      </c>
      <c r="K270" s="61">
        <f>4.5416 * CHOOSE(CONTROL!$C$19, $C$13, 100%, $E$13)</f>
        <v>4.5415999999999999</v>
      </c>
    </row>
    <row r="271" spans="1:11" ht="15">
      <c r="A271" s="13">
        <v>50100</v>
      </c>
      <c r="B271" s="60">
        <f>4.2468 * CHOOSE(CONTROL!$C$19, $C$13, 100%, $E$13)</f>
        <v>4.2468000000000004</v>
      </c>
      <c r="C271" s="60">
        <f>4.2468 * CHOOSE(CONTROL!$C$19, $C$13, 100%, $E$13)</f>
        <v>4.2468000000000004</v>
      </c>
      <c r="D271" s="60">
        <f>4.262 * CHOOSE(CONTROL!$C$19, $C$13, 100%, $E$13)</f>
        <v>4.2619999999999996</v>
      </c>
      <c r="E271" s="61">
        <f>4.5916 * CHOOSE(CONTROL!$C$19, $C$13, 100%, $E$13)</f>
        <v>4.5915999999999997</v>
      </c>
      <c r="F271" s="61">
        <f>4.5916 * CHOOSE(CONTROL!$C$19, $C$13, 100%, $E$13)</f>
        <v>4.5915999999999997</v>
      </c>
      <c r="G271" s="61">
        <f>4.5918 * CHOOSE(CONTROL!$C$19, $C$13, 100%, $E$13)</f>
        <v>4.5918000000000001</v>
      </c>
      <c r="H271" s="61">
        <f>7.0796* CHOOSE(CONTROL!$C$19, $C$13, 100%, $E$13)</f>
        <v>7.0796000000000001</v>
      </c>
      <c r="I271" s="61">
        <f>7.0798 * CHOOSE(CONTROL!$C$19, $C$13, 100%, $E$13)</f>
        <v>7.0797999999999996</v>
      </c>
      <c r="J271" s="61">
        <f>4.5916 * CHOOSE(CONTROL!$C$19, $C$13, 100%, $E$13)</f>
        <v>4.5915999999999997</v>
      </c>
      <c r="K271" s="61">
        <f>4.5918 * CHOOSE(CONTROL!$C$19, $C$13, 100%, $E$13)</f>
        <v>4.5918000000000001</v>
      </c>
    </row>
    <row r="272" spans="1:11" ht="15">
      <c r="A272" s="13">
        <v>50131</v>
      </c>
      <c r="B272" s="60">
        <f>4.2448 * CHOOSE(CONTROL!$C$19, $C$13, 100%, $E$13)</f>
        <v>4.2447999999999997</v>
      </c>
      <c r="C272" s="60">
        <f>4.2448 * CHOOSE(CONTROL!$C$19, $C$13, 100%, $E$13)</f>
        <v>4.2447999999999997</v>
      </c>
      <c r="D272" s="60">
        <f>4.26 * CHOOSE(CONTROL!$C$19, $C$13, 100%, $E$13)</f>
        <v>4.26</v>
      </c>
      <c r="E272" s="61">
        <f>4.6435 * CHOOSE(CONTROL!$C$19, $C$13, 100%, $E$13)</f>
        <v>4.6435000000000004</v>
      </c>
      <c r="F272" s="61">
        <f>4.6435 * CHOOSE(CONTROL!$C$19, $C$13, 100%, $E$13)</f>
        <v>4.6435000000000004</v>
      </c>
      <c r="G272" s="61">
        <f>4.6437 * CHOOSE(CONTROL!$C$19, $C$13, 100%, $E$13)</f>
        <v>4.6436999999999999</v>
      </c>
      <c r="H272" s="61">
        <f>7.0944* CHOOSE(CONTROL!$C$19, $C$13, 100%, $E$13)</f>
        <v>7.0944000000000003</v>
      </c>
      <c r="I272" s="61">
        <f>7.0945 * CHOOSE(CONTROL!$C$19, $C$13, 100%, $E$13)</f>
        <v>7.0945</v>
      </c>
      <c r="J272" s="61">
        <f>4.6435 * CHOOSE(CONTROL!$C$19, $C$13, 100%, $E$13)</f>
        <v>4.6435000000000004</v>
      </c>
      <c r="K272" s="61">
        <f>4.6437 * CHOOSE(CONTROL!$C$19, $C$13, 100%, $E$13)</f>
        <v>4.6436999999999999</v>
      </c>
    </row>
    <row r="273" spans="1:11" ht="15">
      <c r="A273" s="13">
        <v>50161</v>
      </c>
      <c r="B273" s="60">
        <f>4.2448 * CHOOSE(CONTROL!$C$19, $C$13, 100%, $E$13)</f>
        <v>4.2447999999999997</v>
      </c>
      <c r="C273" s="60">
        <f>4.2448 * CHOOSE(CONTROL!$C$19, $C$13, 100%, $E$13)</f>
        <v>4.2447999999999997</v>
      </c>
      <c r="D273" s="60">
        <f>4.2751 * CHOOSE(CONTROL!$C$19, $C$13, 100%, $E$13)</f>
        <v>4.2751000000000001</v>
      </c>
      <c r="E273" s="61">
        <f>4.6646 * CHOOSE(CONTROL!$C$19, $C$13, 100%, $E$13)</f>
        <v>4.6646000000000001</v>
      </c>
      <c r="F273" s="61">
        <f>4.6646 * CHOOSE(CONTROL!$C$19, $C$13, 100%, $E$13)</f>
        <v>4.6646000000000001</v>
      </c>
      <c r="G273" s="61">
        <f>4.6665 * CHOOSE(CONTROL!$C$19, $C$13, 100%, $E$13)</f>
        <v>4.6665000000000001</v>
      </c>
      <c r="H273" s="61">
        <f>7.1091* CHOOSE(CONTROL!$C$19, $C$13, 100%, $E$13)</f>
        <v>7.1090999999999998</v>
      </c>
      <c r="I273" s="61">
        <f>7.111 * CHOOSE(CONTROL!$C$19, $C$13, 100%, $E$13)</f>
        <v>7.1109999999999998</v>
      </c>
      <c r="J273" s="61">
        <f>4.6646 * CHOOSE(CONTROL!$C$19, $C$13, 100%, $E$13)</f>
        <v>4.6646000000000001</v>
      </c>
      <c r="K273" s="61">
        <f>4.6665 * CHOOSE(CONTROL!$C$19, $C$13, 100%, $E$13)</f>
        <v>4.6665000000000001</v>
      </c>
    </row>
    <row r="274" spans="1:11" ht="15">
      <c r="A274" s="13">
        <v>50192</v>
      </c>
      <c r="B274" s="60">
        <f>4.2509 * CHOOSE(CONTROL!$C$19, $C$13, 100%, $E$13)</f>
        <v>4.2508999999999997</v>
      </c>
      <c r="C274" s="60">
        <f>4.2509 * CHOOSE(CONTROL!$C$19, $C$13, 100%, $E$13)</f>
        <v>4.2508999999999997</v>
      </c>
      <c r="D274" s="60">
        <f>4.2812 * CHOOSE(CONTROL!$C$19, $C$13, 100%, $E$13)</f>
        <v>4.2812000000000001</v>
      </c>
      <c r="E274" s="61">
        <f>4.6477 * CHOOSE(CONTROL!$C$19, $C$13, 100%, $E$13)</f>
        <v>4.6477000000000004</v>
      </c>
      <c r="F274" s="61">
        <f>4.6477 * CHOOSE(CONTROL!$C$19, $C$13, 100%, $E$13)</f>
        <v>4.6477000000000004</v>
      </c>
      <c r="G274" s="61">
        <f>4.6496 * CHOOSE(CONTROL!$C$19, $C$13, 100%, $E$13)</f>
        <v>4.6496000000000004</v>
      </c>
      <c r="H274" s="61">
        <f>7.124* CHOOSE(CONTROL!$C$19, $C$13, 100%, $E$13)</f>
        <v>7.1239999999999997</v>
      </c>
      <c r="I274" s="61">
        <f>7.1259 * CHOOSE(CONTROL!$C$19, $C$13, 100%, $E$13)</f>
        <v>7.1258999999999997</v>
      </c>
      <c r="J274" s="61">
        <f>4.6477 * CHOOSE(CONTROL!$C$19, $C$13, 100%, $E$13)</f>
        <v>4.6477000000000004</v>
      </c>
      <c r="K274" s="61">
        <f>4.6496 * CHOOSE(CONTROL!$C$19, $C$13, 100%, $E$13)</f>
        <v>4.6496000000000004</v>
      </c>
    </row>
    <row r="275" spans="1:11" ht="15">
      <c r="A275" s="13">
        <v>50222</v>
      </c>
      <c r="B275" s="60">
        <f>4.315 * CHOOSE(CONTROL!$C$19, $C$13, 100%, $E$13)</f>
        <v>4.3150000000000004</v>
      </c>
      <c r="C275" s="60">
        <f>4.315 * CHOOSE(CONTROL!$C$19, $C$13, 100%, $E$13)</f>
        <v>4.3150000000000004</v>
      </c>
      <c r="D275" s="60">
        <f>4.3454 * CHOOSE(CONTROL!$C$19, $C$13, 100%, $E$13)</f>
        <v>4.3453999999999997</v>
      </c>
      <c r="E275" s="61">
        <f>4.7404 * CHOOSE(CONTROL!$C$19, $C$13, 100%, $E$13)</f>
        <v>4.7404000000000002</v>
      </c>
      <c r="F275" s="61">
        <f>4.7404 * CHOOSE(CONTROL!$C$19, $C$13, 100%, $E$13)</f>
        <v>4.7404000000000002</v>
      </c>
      <c r="G275" s="61">
        <f>4.7423 * CHOOSE(CONTROL!$C$19, $C$13, 100%, $E$13)</f>
        <v>4.7423000000000002</v>
      </c>
      <c r="H275" s="61">
        <f>7.1388* CHOOSE(CONTROL!$C$19, $C$13, 100%, $E$13)</f>
        <v>7.1387999999999998</v>
      </c>
      <c r="I275" s="61">
        <f>7.1407 * CHOOSE(CONTROL!$C$19, $C$13, 100%, $E$13)</f>
        <v>7.1406999999999998</v>
      </c>
      <c r="J275" s="61">
        <f>4.7404 * CHOOSE(CONTROL!$C$19, $C$13, 100%, $E$13)</f>
        <v>4.7404000000000002</v>
      </c>
      <c r="K275" s="61">
        <f>4.7423 * CHOOSE(CONTROL!$C$19, $C$13, 100%, $E$13)</f>
        <v>4.7423000000000002</v>
      </c>
    </row>
    <row r="276" spans="1:11" ht="15">
      <c r="A276" s="13">
        <v>50253</v>
      </c>
      <c r="B276" s="60">
        <f>4.3217 * CHOOSE(CONTROL!$C$19, $C$13, 100%, $E$13)</f>
        <v>4.3216999999999999</v>
      </c>
      <c r="C276" s="60">
        <f>4.3217 * CHOOSE(CONTROL!$C$19, $C$13, 100%, $E$13)</f>
        <v>4.3216999999999999</v>
      </c>
      <c r="D276" s="60">
        <f>4.3521 * CHOOSE(CONTROL!$C$19, $C$13, 100%, $E$13)</f>
        <v>4.3521000000000001</v>
      </c>
      <c r="E276" s="61">
        <f>4.6819 * CHOOSE(CONTROL!$C$19, $C$13, 100%, $E$13)</f>
        <v>4.6818999999999997</v>
      </c>
      <c r="F276" s="61">
        <f>4.6819 * CHOOSE(CONTROL!$C$19, $C$13, 100%, $E$13)</f>
        <v>4.6818999999999997</v>
      </c>
      <c r="G276" s="61">
        <f>4.6838 * CHOOSE(CONTROL!$C$19, $C$13, 100%, $E$13)</f>
        <v>4.6837999999999997</v>
      </c>
      <c r="H276" s="61">
        <f>7.1537* CHOOSE(CONTROL!$C$19, $C$13, 100%, $E$13)</f>
        <v>7.1536999999999997</v>
      </c>
      <c r="I276" s="61">
        <f>7.1556 * CHOOSE(CONTROL!$C$19, $C$13, 100%, $E$13)</f>
        <v>7.1555999999999997</v>
      </c>
      <c r="J276" s="61">
        <f>4.6819 * CHOOSE(CONTROL!$C$19, $C$13, 100%, $E$13)</f>
        <v>4.6818999999999997</v>
      </c>
      <c r="K276" s="61">
        <f>4.6838 * CHOOSE(CONTROL!$C$19, $C$13, 100%, $E$13)</f>
        <v>4.6837999999999997</v>
      </c>
    </row>
    <row r="277" spans="1:11" ht="15">
      <c r="A277" s="13">
        <v>50284</v>
      </c>
      <c r="B277" s="60">
        <f>4.3187 * CHOOSE(CONTROL!$C$19, $C$13, 100%, $E$13)</f>
        <v>4.3186999999999998</v>
      </c>
      <c r="C277" s="60">
        <f>4.3187 * CHOOSE(CONTROL!$C$19, $C$13, 100%, $E$13)</f>
        <v>4.3186999999999998</v>
      </c>
      <c r="D277" s="60">
        <f>4.349 * CHOOSE(CONTROL!$C$19, $C$13, 100%, $E$13)</f>
        <v>4.3490000000000002</v>
      </c>
      <c r="E277" s="61">
        <f>4.6728 * CHOOSE(CONTROL!$C$19, $C$13, 100%, $E$13)</f>
        <v>4.6727999999999996</v>
      </c>
      <c r="F277" s="61">
        <f>4.6728 * CHOOSE(CONTROL!$C$19, $C$13, 100%, $E$13)</f>
        <v>4.6727999999999996</v>
      </c>
      <c r="G277" s="61">
        <f>4.6747 * CHOOSE(CONTROL!$C$19, $C$13, 100%, $E$13)</f>
        <v>4.6746999999999996</v>
      </c>
      <c r="H277" s="61">
        <f>7.1686* CHOOSE(CONTROL!$C$19, $C$13, 100%, $E$13)</f>
        <v>7.1685999999999996</v>
      </c>
      <c r="I277" s="61">
        <f>7.1705 * CHOOSE(CONTROL!$C$19, $C$13, 100%, $E$13)</f>
        <v>7.1704999999999997</v>
      </c>
      <c r="J277" s="61">
        <f>4.6728 * CHOOSE(CONTROL!$C$19, $C$13, 100%, $E$13)</f>
        <v>4.6727999999999996</v>
      </c>
      <c r="K277" s="61">
        <f>4.6747 * CHOOSE(CONTROL!$C$19, $C$13, 100%, $E$13)</f>
        <v>4.6746999999999996</v>
      </c>
    </row>
    <row r="278" spans="1:11" ht="15">
      <c r="A278" s="13">
        <v>50314</v>
      </c>
      <c r="B278" s="60">
        <f>4.3151 * CHOOSE(CONTROL!$C$19, $C$13, 100%, $E$13)</f>
        <v>4.3151000000000002</v>
      </c>
      <c r="C278" s="60">
        <f>4.3151 * CHOOSE(CONTROL!$C$19, $C$13, 100%, $E$13)</f>
        <v>4.3151000000000002</v>
      </c>
      <c r="D278" s="60">
        <f>4.3303 * CHOOSE(CONTROL!$C$19, $C$13, 100%, $E$13)</f>
        <v>4.3303000000000003</v>
      </c>
      <c r="E278" s="61">
        <f>4.6875 * CHOOSE(CONTROL!$C$19, $C$13, 100%, $E$13)</f>
        <v>4.6875</v>
      </c>
      <c r="F278" s="61">
        <f>4.6875 * CHOOSE(CONTROL!$C$19, $C$13, 100%, $E$13)</f>
        <v>4.6875</v>
      </c>
      <c r="G278" s="61">
        <f>4.6876 * CHOOSE(CONTROL!$C$19, $C$13, 100%, $E$13)</f>
        <v>4.6875999999999998</v>
      </c>
      <c r="H278" s="61">
        <f>7.1835* CHOOSE(CONTROL!$C$19, $C$13, 100%, $E$13)</f>
        <v>7.1835000000000004</v>
      </c>
      <c r="I278" s="61">
        <f>7.1837 * CHOOSE(CONTROL!$C$19, $C$13, 100%, $E$13)</f>
        <v>7.1837</v>
      </c>
      <c r="J278" s="61">
        <f>4.6875 * CHOOSE(CONTROL!$C$19, $C$13, 100%, $E$13)</f>
        <v>4.6875</v>
      </c>
      <c r="K278" s="61">
        <f>4.6876 * CHOOSE(CONTROL!$C$19, $C$13, 100%, $E$13)</f>
        <v>4.6875999999999998</v>
      </c>
    </row>
    <row r="279" spans="1:11" ht="15">
      <c r="A279" s="13">
        <v>50345</v>
      </c>
      <c r="B279" s="60">
        <f>4.3181 * CHOOSE(CONTROL!$C$19, $C$13, 100%, $E$13)</f>
        <v>4.3181000000000003</v>
      </c>
      <c r="C279" s="60">
        <f>4.3181 * CHOOSE(CONTROL!$C$19, $C$13, 100%, $E$13)</f>
        <v>4.3181000000000003</v>
      </c>
      <c r="D279" s="60">
        <f>4.3333 * CHOOSE(CONTROL!$C$19, $C$13, 100%, $E$13)</f>
        <v>4.3333000000000004</v>
      </c>
      <c r="E279" s="61">
        <f>4.7036 * CHOOSE(CONTROL!$C$19, $C$13, 100%, $E$13)</f>
        <v>4.7035999999999998</v>
      </c>
      <c r="F279" s="61">
        <f>4.7036 * CHOOSE(CONTROL!$C$19, $C$13, 100%, $E$13)</f>
        <v>4.7035999999999998</v>
      </c>
      <c r="G279" s="61">
        <f>4.7038 * CHOOSE(CONTROL!$C$19, $C$13, 100%, $E$13)</f>
        <v>4.7038000000000002</v>
      </c>
      <c r="H279" s="61">
        <f>7.1985* CHOOSE(CONTROL!$C$19, $C$13, 100%, $E$13)</f>
        <v>7.1985000000000001</v>
      </c>
      <c r="I279" s="61">
        <f>7.1986 * CHOOSE(CONTROL!$C$19, $C$13, 100%, $E$13)</f>
        <v>7.1985999999999999</v>
      </c>
      <c r="J279" s="61">
        <f>4.7036 * CHOOSE(CONTROL!$C$19, $C$13, 100%, $E$13)</f>
        <v>4.7035999999999998</v>
      </c>
      <c r="K279" s="61">
        <f>4.7038 * CHOOSE(CONTROL!$C$19, $C$13, 100%, $E$13)</f>
        <v>4.7038000000000002</v>
      </c>
    </row>
    <row r="280" spans="1:11" ht="15">
      <c r="A280" s="13">
        <v>50375</v>
      </c>
      <c r="B280" s="60">
        <f>4.3181 * CHOOSE(CONTROL!$C$19, $C$13, 100%, $E$13)</f>
        <v>4.3181000000000003</v>
      </c>
      <c r="C280" s="60">
        <f>4.3181 * CHOOSE(CONTROL!$C$19, $C$13, 100%, $E$13)</f>
        <v>4.3181000000000003</v>
      </c>
      <c r="D280" s="60">
        <f>4.3333 * CHOOSE(CONTROL!$C$19, $C$13, 100%, $E$13)</f>
        <v>4.3333000000000004</v>
      </c>
      <c r="E280" s="61">
        <f>4.6685 * CHOOSE(CONTROL!$C$19, $C$13, 100%, $E$13)</f>
        <v>4.6684999999999999</v>
      </c>
      <c r="F280" s="61">
        <f>4.6685 * CHOOSE(CONTROL!$C$19, $C$13, 100%, $E$13)</f>
        <v>4.6684999999999999</v>
      </c>
      <c r="G280" s="61">
        <f>4.6687 * CHOOSE(CONTROL!$C$19, $C$13, 100%, $E$13)</f>
        <v>4.6687000000000003</v>
      </c>
      <c r="H280" s="61">
        <f>7.2135* CHOOSE(CONTROL!$C$19, $C$13, 100%, $E$13)</f>
        <v>7.2134999999999998</v>
      </c>
      <c r="I280" s="61">
        <f>7.2136 * CHOOSE(CONTROL!$C$19, $C$13, 100%, $E$13)</f>
        <v>7.2135999999999996</v>
      </c>
      <c r="J280" s="61">
        <f>4.6685 * CHOOSE(CONTROL!$C$19, $C$13, 100%, $E$13)</f>
        <v>4.6684999999999999</v>
      </c>
      <c r="K280" s="61">
        <f>4.6687 * CHOOSE(CONTROL!$C$19, $C$13, 100%, $E$13)</f>
        <v>4.6687000000000003</v>
      </c>
    </row>
    <row r="281" spans="1:11" ht="15">
      <c r="A281" s="13">
        <v>50406</v>
      </c>
      <c r="B281" s="60">
        <f>4.3559 * CHOOSE(CONTROL!$C$19, $C$13, 100%, $E$13)</f>
        <v>4.3559000000000001</v>
      </c>
      <c r="C281" s="60">
        <f>4.3559 * CHOOSE(CONTROL!$C$19, $C$13, 100%, $E$13)</f>
        <v>4.3559000000000001</v>
      </c>
      <c r="D281" s="60">
        <f>4.3711 * CHOOSE(CONTROL!$C$19, $C$13, 100%, $E$13)</f>
        <v>4.3711000000000002</v>
      </c>
      <c r="E281" s="61">
        <f>4.7413 * CHOOSE(CONTROL!$C$19, $C$13, 100%, $E$13)</f>
        <v>4.7412999999999998</v>
      </c>
      <c r="F281" s="61">
        <f>4.7413 * CHOOSE(CONTROL!$C$19, $C$13, 100%, $E$13)</f>
        <v>4.7412999999999998</v>
      </c>
      <c r="G281" s="61">
        <f>4.7415 * CHOOSE(CONTROL!$C$19, $C$13, 100%, $E$13)</f>
        <v>4.7415000000000003</v>
      </c>
      <c r="H281" s="61">
        <f>7.2285* CHOOSE(CONTROL!$C$19, $C$13, 100%, $E$13)</f>
        <v>7.2285000000000004</v>
      </c>
      <c r="I281" s="61">
        <f>7.2287 * CHOOSE(CONTROL!$C$19, $C$13, 100%, $E$13)</f>
        <v>7.2286999999999999</v>
      </c>
      <c r="J281" s="61">
        <f>4.7413 * CHOOSE(CONTROL!$C$19, $C$13, 100%, $E$13)</f>
        <v>4.7412999999999998</v>
      </c>
      <c r="K281" s="61">
        <f>4.7415 * CHOOSE(CONTROL!$C$19, $C$13, 100%, $E$13)</f>
        <v>4.7415000000000003</v>
      </c>
    </row>
    <row r="282" spans="1:11" ht="15">
      <c r="A282" s="13">
        <v>50437</v>
      </c>
      <c r="B282" s="60">
        <f>4.3528 * CHOOSE(CONTROL!$C$19, $C$13, 100%, $E$13)</f>
        <v>4.3528000000000002</v>
      </c>
      <c r="C282" s="60">
        <f>4.3528 * CHOOSE(CONTROL!$C$19, $C$13, 100%, $E$13)</f>
        <v>4.3528000000000002</v>
      </c>
      <c r="D282" s="60">
        <f>4.368 * CHOOSE(CONTROL!$C$19, $C$13, 100%, $E$13)</f>
        <v>4.3680000000000003</v>
      </c>
      <c r="E282" s="61">
        <f>4.6706 * CHOOSE(CONTROL!$C$19, $C$13, 100%, $E$13)</f>
        <v>4.6706000000000003</v>
      </c>
      <c r="F282" s="61">
        <f>4.6706 * CHOOSE(CONTROL!$C$19, $C$13, 100%, $E$13)</f>
        <v>4.6706000000000003</v>
      </c>
      <c r="G282" s="61">
        <f>4.6708 * CHOOSE(CONTROL!$C$19, $C$13, 100%, $E$13)</f>
        <v>4.6707999999999998</v>
      </c>
      <c r="H282" s="61">
        <f>7.2436* CHOOSE(CONTROL!$C$19, $C$13, 100%, $E$13)</f>
        <v>7.2435999999999998</v>
      </c>
      <c r="I282" s="61">
        <f>7.2437 * CHOOSE(CONTROL!$C$19, $C$13, 100%, $E$13)</f>
        <v>7.2436999999999996</v>
      </c>
      <c r="J282" s="61">
        <f>4.6706 * CHOOSE(CONTROL!$C$19, $C$13, 100%, $E$13)</f>
        <v>4.6706000000000003</v>
      </c>
      <c r="K282" s="61">
        <f>4.6708 * CHOOSE(CONTROL!$C$19, $C$13, 100%, $E$13)</f>
        <v>4.6707999999999998</v>
      </c>
    </row>
    <row r="283" spans="1:11" ht="15">
      <c r="A283" s="13">
        <v>50465</v>
      </c>
      <c r="B283" s="60">
        <f>4.3498 * CHOOSE(CONTROL!$C$19, $C$13, 100%, $E$13)</f>
        <v>4.3498000000000001</v>
      </c>
      <c r="C283" s="60">
        <f>4.3498 * CHOOSE(CONTROL!$C$19, $C$13, 100%, $E$13)</f>
        <v>4.3498000000000001</v>
      </c>
      <c r="D283" s="60">
        <f>4.365 * CHOOSE(CONTROL!$C$19, $C$13, 100%, $E$13)</f>
        <v>4.3650000000000002</v>
      </c>
      <c r="E283" s="61">
        <f>4.7225 * CHOOSE(CONTROL!$C$19, $C$13, 100%, $E$13)</f>
        <v>4.7225000000000001</v>
      </c>
      <c r="F283" s="61">
        <f>4.7225 * CHOOSE(CONTROL!$C$19, $C$13, 100%, $E$13)</f>
        <v>4.7225000000000001</v>
      </c>
      <c r="G283" s="61">
        <f>4.7227 * CHOOSE(CONTROL!$C$19, $C$13, 100%, $E$13)</f>
        <v>4.7226999999999997</v>
      </c>
      <c r="H283" s="61">
        <f>7.2586* CHOOSE(CONTROL!$C$19, $C$13, 100%, $E$13)</f>
        <v>7.2586000000000004</v>
      </c>
      <c r="I283" s="61">
        <f>7.2588 * CHOOSE(CONTROL!$C$19, $C$13, 100%, $E$13)</f>
        <v>7.2587999999999999</v>
      </c>
      <c r="J283" s="61">
        <f>4.7225 * CHOOSE(CONTROL!$C$19, $C$13, 100%, $E$13)</f>
        <v>4.7225000000000001</v>
      </c>
      <c r="K283" s="61">
        <f>4.7227 * CHOOSE(CONTROL!$C$19, $C$13, 100%, $E$13)</f>
        <v>4.7226999999999997</v>
      </c>
    </row>
    <row r="284" spans="1:11" ht="15">
      <c r="A284" s="13">
        <v>50496</v>
      </c>
      <c r="B284" s="60">
        <f>4.3478 * CHOOSE(CONTROL!$C$19, $C$13, 100%, $E$13)</f>
        <v>4.3478000000000003</v>
      </c>
      <c r="C284" s="60">
        <f>4.3478 * CHOOSE(CONTROL!$C$19, $C$13, 100%, $E$13)</f>
        <v>4.3478000000000003</v>
      </c>
      <c r="D284" s="60">
        <f>4.363 * CHOOSE(CONTROL!$C$19, $C$13, 100%, $E$13)</f>
        <v>4.3630000000000004</v>
      </c>
      <c r="E284" s="61">
        <f>4.7763 * CHOOSE(CONTROL!$C$19, $C$13, 100%, $E$13)</f>
        <v>4.7763</v>
      </c>
      <c r="F284" s="61">
        <f>4.7763 * CHOOSE(CONTROL!$C$19, $C$13, 100%, $E$13)</f>
        <v>4.7763</v>
      </c>
      <c r="G284" s="61">
        <f>4.7765 * CHOOSE(CONTROL!$C$19, $C$13, 100%, $E$13)</f>
        <v>4.7765000000000004</v>
      </c>
      <c r="H284" s="61">
        <f>7.2738* CHOOSE(CONTROL!$C$19, $C$13, 100%, $E$13)</f>
        <v>7.2737999999999996</v>
      </c>
      <c r="I284" s="61">
        <f>7.2739 * CHOOSE(CONTROL!$C$19, $C$13, 100%, $E$13)</f>
        <v>7.2739000000000003</v>
      </c>
      <c r="J284" s="61">
        <f>4.7763 * CHOOSE(CONTROL!$C$19, $C$13, 100%, $E$13)</f>
        <v>4.7763</v>
      </c>
      <c r="K284" s="61">
        <f>4.7765 * CHOOSE(CONTROL!$C$19, $C$13, 100%, $E$13)</f>
        <v>4.7765000000000004</v>
      </c>
    </row>
    <row r="285" spans="1:11" ht="15">
      <c r="A285" s="13">
        <v>50526</v>
      </c>
      <c r="B285" s="60">
        <f>4.3478 * CHOOSE(CONTROL!$C$19, $C$13, 100%, $E$13)</f>
        <v>4.3478000000000003</v>
      </c>
      <c r="C285" s="60">
        <f>4.3478 * CHOOSE(CONTROL!$C$19, $C$13, 100%, $E$13)</f>
        <v>4.3478000000000003</v>
      </c>
      <c r="D285" s="60">
        <f>4.3782 * CHOOSE(CONTROL!$C$19, $C$13, 100%, $E$13)</f>
        <v>4.3781999999999996</v>
      </c>
      <c r="E285" s="61">
        <f>4.7981 * CHOOSE(CONTROL!$C$19, $C$13, 100%, $E$13)</f>
        <v>4.7980999999999998</v>
      </c>
      <c r="F285" s="61">
        <f>4.7981 * CHOOSE(CONTROL!$C$19, $C$13, 100%, $E$13)</f>
        <v>4.7980999999999998</v>
      </c>
      <c r="G285" s="61">
        <f>4.8 * CHOOSE(CONTROL!$C$19, $C$13, 100%, $E$13)</f>
        <v>4.8</v>
      </c>
      <c r="H285" s="61">
        <f>7.2889* CHOOSE(CONTROL!$C$19, $C$13, 100%, $E$13)</f>
        <v>7.2888999999999999</v>
      </c>
      <c r="I285" s="61">
        <f>7.2908 * CHOOSE(CONTROL!$C$19, $C$13, 100%, $E$13)</f>
        <v>7.2907999999999999</v>
      </c>
      <c r="J285" s="61">
        <f>4.7981 * CHOOSE(CONTROL!$C$19, $C$13, 100%, $E$13)</f>
        <v>4.7980999999999998</v>
      </c>
      <c r="K285" s="61">
        <f>4.8 * CHOOSE(CONTROL!$C$19, $C$13, 100%, $E$13)</f>
        <v>4.8</v>
      </c>
    </row>
    <row r="286" spans="1:11" ht="15">
      <c r="A286" s="13">
        <v>50557</v>
      </c>
      <c r="B286" s="60">
        <f>4.3539 * CHOOSE(CONTROL!$C$19, $C$13, 100%, $E$13)</f>
        <v>4.3539000000000003</v>
      </c>
      <c r="C286" s="60">
        <f>4.3539 * CHOOSE(CONTROL!$C$19, $C$13, 100%, $E$13)</f>
        <v>4.3539000000000003</v>
      </c>
      <c r="D286" s="60">
        <f>4.3843 * CHOOSE(CONTROL!$C$19, $C$13, 100%, $E$13)</f>
        <v>4.3842999999999996</v>
      </c>
      <c r="E286" s="61">
        <f>4.7806 * CHOOSE(CONTROL!$C$19, $C$13, 100%, $E$13)</f>
        <v>4.7805999999999997</v>
      </c>
      <c r="F286" s="61">
        <f>4.7806 * CHOOSE(CONTROL!$C$19, $C$13, 100%, $E$13)</f>
        <v>4.7805999999999997</v>
      </c>
      <c r="G286" s="61">
        <f>4.7825 * CHOOSE(CONTROL!$C$19, $C$13, 100%, $E$13)</f>
        <v>4.7824999999999998</v>
      </c>
      <c r="H286" s="61">
        <f>7.3041* CHOOSE(CONTROL!$C$19, $C$13, 100%, $E$13)</f>
        <v>7.3041</v>
      </c>
      <c r="I286" s="61">
        <f>7.306 * CHOOSE(CONTROL!$C$19, $C$13, 100%, $E$13)</f>
        <v>7.306</v>
      </c>
      <c r="J286" s="61">
        <f>4.7806 * CHOOSE(CONTROL!$C$19, $C$13, 100%, $E$13)</f>
        <v>4.7805999999999997</v>
      </c>
      <c r="K286" s="61">
        <f>4.7825 * CHOOSE(CONTROL!$C$19, $C$13, 100%, $E$13)</f>
        <v>4.7824999999999998</v>
      </c>
    </row>
    <row r="287" spans="1:11" ht="15">
      <c r="A287" s="13">
        <v>50587</v>
      </c>
      <c r="B287" s="60">
        <f>4.4232 * CHOOSE(CONTROL!$C$19, $C$13, 100%, $E$13)</f>
        <v>4.4231999999999996</v>
      </c>
      <c r="C287" s="60">
        <f>4.4232 * CHOOSE(CONTROL!$C$19, $C$13, 100%, $E$13)</f>
        <v>4.4231999999999996</v>
      </c>
      <c r="D287" s="60">
        <f>4.4536 * CHOOSE(CONTROL!$C$19, $C$13, 100%, $E$13)</f>
        <v>4.4535999999999998</v>
      </c>
      <c r="E287" s="61">
        <f>4.875 * CHOOSE(CONTROL!$C$19, $C$13, 100%, $E$13)</f>
        <v>4.875</v>
      </c>
      <c r="F287" s="61">
        <f>4.875 * CHOOSE(CONTROL!$C$19, $C$13, 100%, $E$13)</f>
        <v>4.875</v>
      </c>
      <c r="G287" s="61">
        <f>4.8769 * CHOOSE(CONTROL!$C$19, $C$13, 100%, $E$13)</f>
        <v>4.8769</v>
      </c>
      <c r="H287" s="61">
        <f>7.3193* CHOOSE(CONTROL!$C$19, $C$13, 100%, $E$13)</f>
        <v>7.3193000000000001</v>
      </c>
      <c r="I287" s="61">
        <f>7.3212 * CHOOSE(CONTROL!$C$19, $C$13, 100%, $E$13)</f>
        <v>7.3212000000000002</v>
      </c>
      <c r="J287" s="61">
        <f>4.875 * CHOOSE(CONTROL!$C$19, $C$13, 100%, $E$13)</f>
        <v>4.875</v>
      </c>
      <c r="K287" s="61">
        <f>4.8769 * CHOOSE(CONTROL!$C$19, $C$13, 100%, $E$13)</f>
        <v>4.8769</v>
      </c>
    </row>
    <row r="288" spans="1:11" ht="15">
      <c r="A288" s="13">
        <v>50618</v>
      </c>
      <c r="B288" s="60">
        <f>4.4299 * CHOOSE(CONTROL!$C$19, $C$13, 100%, $E$13)</f>
        <v>4.4298999999999999</v>
      </c>
      <c r="C288" s="60">
        <f>4.4299 * CHOOSE(CONTROL!$C$19, $C$13, 100%, $E$13)</f>
        <v>4.4298999999999999</v>
      </c>
      <c r="D288" s="60">
        <f>4.4603 * CHOOSE(CONTROL!$C$19, $C$13, 100%, $E$13)</f>
        <v>4.4603000000000002</v>
      </c>
      <c r="E288" s="61">
        <f>4.8143 * CHOOSE(CONTROL!$C$19, $C$13, 100%, $E$13)</f>
        <v>4.8143000000000002</v>
      </c>
      <c r="F288" s="61">
        <f>4.8143 * CHOOSE(CONTROL!$C$19, $C$13, 100%, $E$13)</f>
        <v>4.8143000000000002</v>
      </c>
      <c r="G288" s="61">
        <f>4.8162 * CHOOSE(CONTROL!$C$19, $C$13, 100%, $E$13)</f>
        <v>4.8162000000000003</v>
      </c>
      <c r="H288" s="61">
        <f>7.3346* CHOOSE(CONTROL!$C$19, $C$13, 100%, $E$13)</f>
        <v>7.3346</v>
      </c>
      <c r="I288" s="61">
        <f>7.3365 * CHOOSE(CONTROL!$C$19, $C$13, 100%, $E$13)</f>
        <v>7.3365</v>
      </c>
      <c r="J288" s="61">
        <f>4.8143 * CHOOSE(CONTROL!$C$19, $C$13, 100%, $E$13)</f>
        <v>4.8143000000000002</v>
      </c>
      <c r="K288" s="61">
        <f>4.8162 * CHOOSE(CONTROL!$C$19, $C$13, 100%, $E$13)</f>
        <v>4.8162000000000003</v>
      </c>
    </row>
    <row r="289" spans="1:11" ht="15">
      <c r="A289" s="13">
        <v>50649</v>
      </c>
      <c r="B289" s="60">
        <f>4.4269 * CHOOSE(CONTROL!$C$19, $C$13, 100%, $E$13)</f>
        <v>4.4268999999999998</v>
      </c>
      <c r="C289" s="60">
        <f>4.4269 * CHOOSE(CONTROL!$C$19, $C$13, 100%, $E$13)</f>
        <v>4.4268999999999998</v>
      </c>
      <c r="D289" s="60">
        <f>4.4572 * CHOOSE(CONTROL!$C$19, $C$13, 100%, $E$13)</f>
        <v>4.4572000000000003</v>
      </c>
      <c r="E289" s="61">
        <f>4.805 * CHOOSE(CONTROL!$C$19, $C$13, 100%, $E$13)</f>
        <v>4.8049999999999997</v>
      </c>
      <c r="F289" s="61">
        <f>4.805 * CHOOSE(CONTROL!$C$19, $C$13, 100%, $E$13)</f>
        <v>4.8049999999999997</v>
      </c>
      <c r="G289" s="61">
        <f>4.8069 * CHOOSE(CONTROL!$C$19, $C$13, 100%, $E$13)</f>
        <v>4.8068999999999997</v>
      </c>
      <c r="H289" s="61">
        <f>7.3499* CHOOSE(CONTROL!$C$19, $C$13, 100%, $E$13)</f>
        <v>7.3498999999999999</v>
      </c>
      <c r="I289" s="61">
        <f>7.3518 * CHOOSE(CONTROL!$C$19, $C$13, 100%, $E$13)</f>
        <v>7.3517999999999999</v>
      </c>
      <c r="J289" s="61">
        <f>4.805 * CHOOSE(CONTROL!$C$19, $C$13, 100%, $E$13)</f>
        <v>4.8049999999999997</v>
      </c>
      <c r="K289" s="61">
        <f>4.8069 * CHOOSE(CONTROL!$C$19, $C$13, 100%, $E$13)</f>
        <v>4.8068999999999997</v>
      </c>
    </row>
    <row r="290" spans="1:11" ht="15">
      <c r="A290" s="13">
        <v>50679</v>
      </c>
      <c r="B290" s="60">
        <f>4.4237 * CHOOSE(CONTROL!$C$19, $C$13, 100%, $E$13)</f>
        <v>4.4237000000000002</v>
      </c>
      <c r="C290" s="60">
        <f>4.4237 * CHOOSE(CONTROL!$C$19, $C$13, 100%, $E$13)</f>
        <v>4.4237000000000002</v>
      </c>
      <c r="D290" s="60">
        <f>4.4389 * CHOOSE(CONTROL!$C$19, $C$13, 100%, $E$13)</f>
        <v>4.4389000000000003</v>
      </c>
      <c r="E290" s="61">
        <f>4.8206 * CHOOSE(CONTROL!$C$19, $C$13, 100%, $E$13)</f>
        <v>4.8205999999999998</v>
      </c>
      <c r="F290" s="61">
        <f>4.8206 * CHOOSE(CONTROL!$C$19, $C$13, 100%, $E$13)</f>
        <v>4.8205999999999998</v>
      </c>
      <c r="G290" s="61">
        <f>4.8207 * CHOOSE(CONTROL!$C$19, $C$13, 100%, $E$13)</f>
        <v>4.8207000000000004</v>
      </c>
      <c r="H290" s="61">
        <f>7.3652* CHOOSE(CONTROL!$C$19, $C$13, 100%, $E$13)</f>
        <v>7.3651999999999997</v>
      </c>
      <c r="I290" s="61">
        <f>7.3653 * CHOOSE(CONTROL!$C$19, $C$13, 100%, $E$13)</f>
        <v>7.3653000000000004</v>
      </c>
      <c r="J290" s="61">
        <f>4.8206 * CHOOSE(CONTROL!$C$19, $C$13, 100%, $E$13)</f>
        <v>4.8205999999999998</v>
      </c>
      <c r="K290" s="61">
        <f>4.8207 * CHOOSE(CONTROL!$C$19, $C$13, 100%, $E$13)</f>
        <v>4.8207000000000004</v>
      </c>
    </row>
    <row r="291" spans="1:11" ht="15">
      <c r="A291" s="13">
        <v>50710</v>
      </c>
      <c r="B291" s="60">
        <f>4.4267 * CHOOSE(CONTROL!$C$19, $C$13, 100%, $E$13)</f>
        <v>4.4267000000000003</v>
      </c>
      <c r="C291" s="60">
        <f>4.4267 * CHOOSE(CONTROL!$C$19, $C$13, 100%, $E$13)</f>
        <v>4.4267000000000003</v>
      </c>
      <c r="D291" s="60">
        <f>4.4419 * CHOOSE(CONTROL!$C$19, $C$13, 100%, $E$13)</f>
        <v>4.4419000000000004</v>
      </c>
      <c r="E291" s="61">
        <f>4.8372 * CHOOSE(CONTROL!$C$19, $C$13, 100%, $E$13)</f>
        <v>4.8372000000000002</v>
      </c>
      <c r="F291" s="61">
        <f>4.8372 * CHOOSE(CONTROL!$C$19, $C$13, 100%, $E$13)</f>
        <v>4.8372000000000002</v>
      </c>
      <c r="G291" s="61">
        <f>4.8374 * CHOOSE(CONTROL!$C$19, $C$13, 100%, $E$13)</f>
        <v>4.8373999999999997</v>
      </c>
      <c r="H291" s="61">
        <f>7.3805* CHOOSE(CONTROL!$C$19, $C$13, 100%, $E$13)</f>
        <v>7.3804999999999996</v>
      </c>
      <c r="I291" s="61">
        <f>7.3807 * CHOOSE(CONTROL!$C$19, $C$13, 100%, $E$13)</f>
        <v>7.3807</v>
      </c>
      <c r="J291" s="61">
        <f>4.8372 * CHOOSE(CONTROL!$C$19, $C$13, 100%, $E$13)</f>
        <v>4.8372000000000002</v>
      </c>
      <c r="K291" s="61">
        <f>4.8374 * CHOOSE(CONTROL!$C$19, $C$13, 100%, $E$13)</f>
        <v>4.8373999999999997</v>
      </c>
    </row>
    <row r="292" spans="1:11" ht="15">
      <c r="A292" s="13">
        <v>50740</v>
      </c>
      <c r="B292" s="60">
        <f>4.4267 * CHOOSE(CONTROL!$C$19, $C$13, 100%, $E$13)</f>
        <v>4.4267000000000003</v>
      </c>
      <c r="C292" s="60">
        <f>4.4267 * CHOOSE(CONTROL!$C$19, $C$13, 100%, $E$13)</f>
        <v>4.4267000000000003</v>
      </c>
      <c r="D292" s="60">
        <f>4.4419 * CHOOSE(CONTROL!$C$19, $C$13, 100%, $E$13)</f>
        <v>4.4419000000000004</v>
      </c>
      <c r="E292" s="61">
        <f>4.8206 * CHOOSE(CONTROL!$C$19, $C$13, 100%, $E$13)</f>
        <v>4.8205999999999998</v>
      </c>
      <c r="F292" s="61">
        <f>4.8206 * CHOOSE(CONTROL!$C$19, $C$13, 100%, $E$13)</f>
        <v>4.8205999999999998</v>
      </c>
      <c r="G292" s="61">
        <f>4.8208 * CHOOSE(CONTROL!$C$19, $C$13, 100%, $E$13)</f>
        <v>4.8208000000000002</v>
      </c>
      <c r="H292" s="61">
        <f>7.3959* CHOOSE(CONTROL!$C$19, $C$13, 100%, $E$13)</f>
        <v>7.3959000000000001</v>
      </c>
      <c r="I292" s="61">
        <f>7.3961 * CHOOSE(CONTROL!$C$19, $C$13, 100%, $E$13)</f>
        <v>7.3960999999999997</v>
      </c>
      <c r="J292" s="61">
        <f>4.8206 * CHOOSE(CONTROL!$C$19, $C$13, 100%, $E$13)</f>
        <v>4.8205999999999998</v>
      </c>
      <c r="K292" s="61">
        <f>4.8208 * CHOOSE(CONTROL!$C$19, $C$13, 100%, $E$13)</f>
        <v>4.8208000000000002</v>
      </c>
    </row>
    <row r="293" spans="1:11" ht="15">
      <c r="A293" s="13">
        <v>50771</v>
      </c>
      <c r="B293" s="60">
        <f>4.464 * CHOOSE(CONTROL!$C$19, $C$13, 100%, $E$13)</f>
        <v>4.4640000000000004</v>
      </c>
      <c r="C293" s="60">
        <f>4.464 * CHOOSE(CONTROL!$C$19, $C$13, 100%, $E$13)</f>
        <v>4.4640000000000004</v>
      </c>
      <c r="D293" s="60">
        <f>4.4792 * CHOOSE(CONTROL!$C$19, $C$13, 100%, $E$13)</f>
        <v>4.4791999999999996</v>
      </c>
      <c r="E293" s="61">
        <f>4.8715 * CHOOSE(CONTROL!$C$19, $C$13, 100%, $E$13)</f>
        <v>4.8715000000000002</v>
      </c>
      <c r="F293" s="61">
        <f>4.8715 * CHOOSE(CONTROL!$C$19, $C$13, 100%, $E$13)</f>
        <v>4.8715000000000002</v>
      </c>
      <c r="G293" s="61">
        <f>4.8717 * CHOOSE(CONTROL!$C$19, $C$13, 100%, $E$13)</f>
        <v>4.8716999999999997</v>
      </c>
      <c r="H293" s="61">
        <f>7.4113* CHOOSE(CONTROL!$C$19, $C$13, 100%, $E$13)</f>
        <v>7.4112999999999998</v>
      </c>
      <c r="I293" s="61">
        <f>7.4115 * CHOOSE(CONTROL!$C$19, $C$13, 100%, $E$13)</f>
        <v>7.4115000000000002</v>
      </c>
      <c r="J293" s="61">
        <f>4.8715 * CHOOSE(CONTROL!$C$19, $C$13, 100%, $E$13)</f>
        <v>4.8715000000000002</v>
      </c>
      <c r="K293" s="61">
        <f>4.8717 * CHOOSE(CONTROL!$C$19, $C$13, 100%, $E$13)</f>
        <v>4.8716999999999997</v>
      </c>
    </row>
    <row r="294" spans="1:11" ht="15">
      <c r="A294" s="13">
        <v>50802</v>
      </c>
      <c r="B294" s="60">
        <f>4.461 * CHOOSE(CONTROL!$C$19, $C$13, 100%, $E$13)</f>
        <v>4.4610000000000003</v>
      </c>
      <c r="C294" s="60">
        <f>4.461 * CHOOSE(CONTROL!$C$19, $C$13, 100%, $E$13)</f>
        <v>4.4610000000000003</v>
      </c>
      <c r="D294" s="60">
        <f>4.4762 * CHOOSE(CONTROL!$C$19, $C$13, 100%, $E$13)</f>
        <v>4.4762000000000004</v>
      </c>
      <c r="E294" s="61">
        <f>4.7989 * CHOOSE(CONTROL!$C$19, $C$13, 100%, $E$13)</f>
        <v>4.7988999999999997</v>
      </c>
      <c r="F294" s="61">
        <f>4.7989 * CHOOSE(CONTROL!$C$19, $C$13, 100%, $E$13)</f>
        <v>4.7988999999999997</v>
      </c>
      <c r="G294" s="61">
        <f>4.7991 * CHOOSE(CONTROL!$C$19, $C$13, 100%, $E$13)</f>
        <v>4.7991000000000001</v>
      </c>
      <c r="H294" s="61">
        <f>7.4267* CHOOSE(CONTROL!$C$19, $C$13, 100%, $E$13)</f>
        <v>7.4267000000000003</v>
      </c>
      <c r="I294" s="61">
        <f>7.4269 * CHOOSE(CONTROL!$C$19, $C$13, 100%, $E$13)</f>
        <v>7.4268999999999998</v>
      </c>
      <c r="J294" s="61">
        <f>4.7989 * CHOOSE(CONTROL!$C$19, $C$13, 100%, $E$13)</f>
        <v>4.7988999999999997</v>
      </c>
      <c r="K294" s="61">
        <f>4.7991 * CHOOSE(CONTROL!$C$19, $C$13, 100%, $E$13)</f>
        <v>4.7991000000000001</v>
      </c>
    </row>
    <row r="295" spans="1:11" ht="15">
      <c r="A295" s="13">
        <v>50830</v>
      </c>
      <c r="B295" s="60">
        <f>4.458 * CHOOSE(CONTROL!$C$19, $C$13, 100%, $E$13)</f>
        <v>4.4580000000000002</v>
      </c>
      <c r="C295" s="60">
        <f>4.458 * CHOOSE(CONTROL!$C$19, $C$13, 100%, $E$13)</f>
        <v>4.4580000000000002</v>
      </c>
      <c r="D295" s="60">
        <f>4.4731 * CHOOSE(CONTROL!$C$19, $C$13, 100%, $E$13)</f>
        <v>4.4730999999999996</v>
      </c>
      <c r="E295" s="61">
        <f>4.8524 * CHOOSE(CONTROL!$C$19, $C$13, 100%, $E$13)</f>
        <v>4.8524000000000003</v>
      </c>
      <c r="F295" s="61">
        <f>4.8524 * CHOOSE(CONTROL!$C$19, $C$13, 100%, $E$13)</f>
        <v>4.8524000000000003</v>
      </c>
      <c r="G295" s="61">
        <f>4.8525 * CHOOSE(CONTROL!$C$19, $C$13, 100%, $E$13)</f>
        <v>4.8525</v>
      </c>
      <c r="H295" s="61">
        <f>7.4422* CHOOSE(CONTROL!$C$19, $C$13, 100%, $E$13)</f>
        <v>7.4421999999999997</v>
      </c>
      <c r="I295" s="61">
        <f>7.4424 * CHOOSE(CONTROL!$C$19, $C$13, 100%, $E$13)</f>
        <v>7.4424000000000001</v>
      </c>
      <c r="J295" s="61">
        <f>4.8524 * CHOOSE(CONTROL!$C$19, $C$13, 100%, $E$13)</f>
        <v>4.8524000000000003</v>
      </c>
      <c r="K295" s="61">
        <f>4.8525 * CHOOSE(CONTROL!$C$19, $C$13, 100%, $E$13)</f>
        <v>4.8525</v>
      </c>
    </row>
    <row r="296" spans="1:11" ht="15">
      <c r="A296" s="13">
        <v>50861</v>
      </c>
      <c r="B296" s="60">
        <f>4.4561 * CHOOSE(CONTROL!$C$19, $C$13, 100%, $E$13)</f>
        <v>4.4561000000000002</v>
      </c>
      <c r="C296" s="60">
        <f>4.4561 * CHOOSE(CONTROL!$C$19, $C$13, 100%, $E$13)</f>
        <v>4.4561000000000002</v>
      </c>
      <c r="D296" s="60">
        <f>4.4713 * CHOOSE(CONTROL!$C$19, $C$13, 100%, $E$13)</f>
        <v>4.4713000000000003</v>
      </c>
      <c r="E296" s="61">
        <f>4.9078 * CHOOSE(CONTROL!$C$19, $C$13, 100%, $E$13)</f>
        <v>4.9077999999999999</v>
      </c>
      <c r="F296" s="61">
        <f>4.9078 * CHOOSE(CONTROL!$C$19, $C$13, 100%, $E$13)</f>
        <v>4.9077999999999999</v>
      </c>
      <c r="G296" s="61">
        <f>4.908 * CHOOSE(CONTROL!$C$19, $C$13, 100%, $E$13)</f>
        <v>4.9080000000000004</v>
      </c>
      <c r="H296" s="61">
        <f>7.4577* CHOOSE(CONTROL!$C$19, $C$13, 100%, $E$13)</f>
        <v>7.4577</v>
      </c>
      <c r="I296" s="61">
        <f>7.4579 * CHOOSE(CONTROL!$C$19, $C$13, 100%, $E$13)</f>
        <v>7.4579000000000004</v>
      </c>
      <c r="J296" s="61">
        <f>4.9078 * CHOOSE(CONTROL!$C$19, $C$13, 100%, $E$13)</f>
        <v>4.9077999999999999</v>
      </c>
      <c r="K296" s="61">
        <f>4.908 * CHOOSE(CONTROL!$C$19, $C$13, 100%, $E$13)</f>
        <v>4.9080000000000004</v>
      </c>
    </row>
    <row r="297" spans="1:11" ht="15">
      <c r="A297" s="13">
        <v>50891</v>
      </c>
      <c r="B297" s="60">
        <f>4.4561 * CHOOSE(CONTROL!$C$19, $C$13, 100%, $E$13)</f>
        <v>4.4561000000000002</v>
      </c>
      <c r="C297" s="60">
        <f>4.4561 * CHOOSE(CONTROL!$C$19, $C$13, 100%, $E$13)</f>
        <v>4.4561000000000002</v>
      </c>
      <c r="D297" s="60">
        <f>4.4865 * CHOOSE(CONTROL!$C$19, $C$13, 100%, $E$13)</f>
        <v>4.4865000000000004</v>
      </c>
      <c r="E297" s="61">
        <f>4.9302 * CHOOSE(CONTROL!$C$19, $C$13, 100%, $E$13)</f>
        <v>4.9302000000000001</v>
      </c>
      <c r="F297" s="61">
        <f>4.9302 * CHOOSE(CONTROL!$C$19, $C$13, 100%, $E$13)</f>
        <v>4.9302000000000001</v>
      </c>
      <c r="G297" s="61">
        <f>4.9321 * CHOOSE(CONTROL!$C$19, $C$13, 100%, $E$13)</f>
        <v>4.9321000000000002</v>
      </c>
      <c r="H297" s="61">
        <f>7.4732* CHOOSE(CONTROL!$C$19, $C$13, 100%, $E$13)</f>
        <v>7.4732000000000003</v>
      </c>
      <c r="I297" s="61">
        <f>7.4751 * CHOOSE(CONTROL!$C$19, $C$13, 100%, $E$13)</f>
        <v>7.4751000000000003</v>
      </c>
      <c r="J297" s="61">
        <f>4.9302 * CHOOSE(CONTROL!$C$19, $C$13, 100%, $E$13)</f>
        <v>4.9302000000000001</v>
      </c>
      <c r="K297" s="61">
        <f>4.9321 * CHOOSE(CONTROL!$C$19, $C$13, 100%, $E$13)</f>
        <v>4.9321000000000002</v>
      </c>
    </row>
    <row r="298" spans="1:11" ht="15">
      <c r="A298" s="13">
        <v>50922</v>
      </c>
      <c r="B298" s="60">
        <f>4.4622 * CHOOSE(CONTROL!$C$19, $C$13, 100%, $E$13)</f>
        <v>4.4622000000000002</v>
      </c>
      <c r="C298" s="60">
        <f>4.4622 * CHOOSE(CONTROL!$C$19, $C$13, 100%, $E$13)</f>
        <v>4.4622000000000002</v>
      </c>
      <c r="D298" s="60">
        <f>4.4926 * CHOOSE(CONTROL!$C$19, $C$13, 100%, $E$13)</f>
        <v>4.4926000000000004</v>
      </c>
      <c r="E298" s="61">
        <f>4.912 * CHOOSE(CONTROL!$C$19, $C$13, 100%, $E$13)</f>
        <v>4.9119999999999999</v>
      </c>
      <c r="F298" s="61">
        <f>4.912 * CHOOSE(CONTROL!$C$19, $C$13, 100%, $E$13)</f>
        <v>4.9119999999999999</v>
      </c>
      <c r="G298" s="61">
        <f>4.9139 * CHOOSE(CONTROL!$C$19, $C$13, 100%, $E$13)</f>
        <v>4.9138999999999999</v>
      </c>
      <c r="H298" s="61">
        <f>7.4888* CHOOSE(CONTROL!$C$19, $C$13, 100%, $E$13)</f>
        <v>7.4888000000000003</v>
      </c>
      <c r="I298" s="61">
        <f>7.4907 * CHOOSE(CONTROL!$C$19, $C$13, 100%, $E$13)</f>
        <v>7.4907000000000004</v>
      </c>
      <c r="J298" s="61">
        <f>4.912 * CHOOSE(CONTROL!$C$19, $C$13, 100%, $E$13)</f>
        <v>4.9119999999999999</v>
      </c>
      <c r="K298" s="61">
        <f>4.9139 * CHOOSE(CONTROL!$C$19, $C$13, 100%, $E$13)</f>
        <v>4.9138999999999999</v>
      </c>
    </row>
    <row r="299" spans="1:11" ht="15">
      <c r="A299" s="13">
        <v>50952</v>
      </c>
      <c r="B299" s="60">
        <f>4.53 * CHOOSE(CONTROL!$C$19, $C$13, 100%, $E$13)</f>
        <v>4.53</v>
      </c>
      <c r="C299" s="60">
        <f>4.53 * CHOOSE(CONTROL!$C$19, $C$13, 100%, $E$13)</f>
        <v>4.53</v>
      </c>
      <c r="D299" s="60">
        <f>4.5604 * CHOOSE(CONTROL!$C$19, $C$13, 100%, $E$13)</f>
        <v>4.5603999999999996</v>
      </c>
      <c r="E299" s="61">
        <f>5.009 * CHOOSE(CONTROL!$C$19, $C$13, 100%, $E$13)</f>
        <v>5.0090000000000003</v>
      </c>
      <c r="F299" s="61">
        <f>5.009 * CHOOSE(CONTROL!$C$19, $C$13, 100%, $E$13)</f>
        <v>5.0090000000000003</v>
      </c>
      <c r="G299" s="61">
        <f>5.0109 * CHOOSE(CONTROL!$C$19, $C$13, 100%, $E$13)</f>
        <v>5.0109000000000004</v>
      </c>
      <c r="H299" s="61">
        <f>7.5044* CHOOSE(CONTROL!$C$19, $C$13, 100%, $E$13)</f>
        <v>7.5044000000000004</v>
      </c>
      <c r="I299" s="61">
        <f>7.5063 * CHOOSE(CONTROL!$C$19, $C$13, 100%, $E$13)</f>
        <v>7.5063000000000004</v>
      </c>
      <c r="J299" s="61">
        <f>5.009 * CHOOSE(CONTROL!$C$19, $C$13, 100%, $E$13)</f>
        <v>5.0090000000000003</v>
      </c>
      <c r="K299" s="61">
        <f>5.0109 * CHOOSE(CONTROL!$C$19, $C$13, 100%, $E$13)</f>
        <v>5.0109000000000004</v>
      </c>
    </row>
    <row r="300" spans="1:11" ht="15">
      <c r="A300" s="13">
        <v>50983</v>
      </c>
      <c r="B300" s="60">
        <f>4.5367 * CHOOSE(CONTROL!$C$19, $C$13, 100%, $E$13)</f>
        <v>4.5366999999999997</v>
      </c>
      <c r="C300" s="60">
        <f>4.5367 * CHOOSE(CONTROL!$C$19, $C$13, 100%, $E$13)</f>
        <v>4.5366999999999997</v>
      </c>
      <c r="D300" s="60">
        <f>4.5671 * CHOOSE(CONTROL!$C$19, $C$13, 100%, $E$13)</f>
        <v>4.5670999999999999</v>
      </c>
      <c r="E300" s="61">
        <f>4.9465 * CHOOSE(CONTROL!$C$19, $C$13, 100%, $E$13)</f>
        <v>4.9465000000000003</v>
      </c>
      <c r="F300" s="61">
        <f>4.9465 * CHOOSE(CONTROL!$C$19, $C$13, 100%, $E$13)</f>
        <v>4.9465000000000003</v>
      </c>
      <c r="G300" s="61">
        <f>4.9484 * CHOOSE(CONTROL!$C$19, $C$13, 100%, $E$13)</f>
        <v>4.9484000000000004</v>
      </c>
      <c r="H300" s="61">
        <f>7.5201* CHOOSE(CONTROL!$C$19, $C$13, 100%, $E$13)</f>
        <v>7.5201000000000002</v>
      </c>
      <c r="I300" s="61">
        <f>7.522 * CHOOSE(CONTROL!$C$19, $C$13, 100%, $E$13)</f>
        <v>7.5220000000000002</v>
      </c>
      <c r="J300" s="61">
        <f>4.9465 * CHOOSE(CONTROL!$C$19, $C$13, 100%, $E$13)</f>
        <v>4.9465000000000003</v>
      </c>
      <c r="K300" s="61">
        <f>4.9484 * CHOOSE(CONTROL!$C$19, $C$13, 100%, $E$13)</f>
        <v>4.9484000000000004</v>
      </c>
    </row>
    <row r="301" spans="1:11" ht="15">
      <c r="A301" s="13">
        <v>51014</v>
      </c>
      <c r="B301" s="60">
        <f>4.5337 * CHOOSE(CONTROL!$C$19, $C$13, 100%, $E$13)</f>
        <v>4.5336999999999996</v>
      </c>
      <c r="C301" s="60">
        <f>4.5337 * CHOOSE(CONTROL!$C$19, $C$13, 100%, $E$13)</f>
        <v>4.5336999999999996</v>
      </c>
      <c r="D301" s="60">
        <f>4.5641 * CHOOSE(CONTROL!$C$19, $C$13, 100%, $E$13)</f>
        <v>4.5640999999999998</v>
      </c>
      <c r="E301" s="61">
        <f>4.9369 * CHOOSE(CONTROL!$C$19, $C$13, 100%, $E$13)</f>
        <v>4.9368999999999996</v>
      </c>
      <c r="F301" s="61">
        <f>4.9369 * CHOOSE(CONTROL!$C$19, $C$13, 100%, $E$13)</f>
        <v>4.9368999999999996</v>
      </c>
      <c r="G301" s="61">
        <f>4.9388 * CHOOSE(CONTROL!$C$19, $C$13, 100%, $E$13)</f>
        <v>4.9387999999999996</v>
      </c>
      <c r="H301" s="61">
        <f>7.5357* CHOOSE(CONTROL!$C$19, $C$13, 100%, $E$13)</f>
        <v>7.5357000000000003</v>
      </c>
      <c r="I301" s="61">
        <f>7.5376 * CHOOSE(CONTROL!$C$19, $C$13, 100%, $E$13)</f>
        <v>7.5376000000000003</v>
      </c>
      <c r="J301" s="61">
        <f>4.9369 * CHOOSE(CONTROL!$C$19, $C$13, 100%, $E$13)</f>
        <v>4.9368999999999996</v>
      </c>
      <c r="K301" s="61">
        <f>4.9388 * CHOOSE(CONTROL!$C$19, $C$13, 100%, $E$13)</f>
        <v>4.9387999999999996</v>
      </c>
    </row>
    <row r="302" spans="1:11" ht="15">
      <c r="A302" s="13">
        <v>51044</v>
      </c>
      <c r="B302" s="60">
        <f>4.5309 * CHOOSE(CONTROL!$C$19, $C$13, 100%, $E$13)</f>
        <v>4.5308999999999999</v>
      </c>
      <c r="C302" s="60">
        <f>4.5309 * CHOOSE(CONTROL!$C$19, $C$13, 100%, $E$13)</f>
        <v>4.5308999999999999</v>
      </c>
      <c r="D302" s="60">
        <f>4.5461 * CHOOSE(CONTROL!$C$19, $C$13, 100%, $E$13)</f>
        <v>4.5461</v>
      </c>
      <c r="E302" s="61">
        <f>4.9534 * CHOOSE(CONTROL!$C$19, $C$13, 100%, $E$13)</f>
        <v>4.9534000000000002</v>
      </c>
      <c r="F302" s="61">
        <f>4.9534 * CHOOSE(CONTROL!$C$19, $C$13, 100%, $E$13)</f>
        <v>4.9534000000000002</v>
      </c>
      <c r="G302" s="61">
        <f>4.9535 * CHOOSE(CONTROL!$C$19, $C$13, 100%, $E$13)</f>
        <v>4.9535</v>
      </c>
      <c r="H302" s="61">
        <f>7.5514* CHOOSE(CONTROL!$C$19, $C$13, 100%, $E$13)</f>
        <v>7.5514000000000001</v>
      </c>
      <c r="I302" s="61">
        <f>7.5516 * CHOOSE(CONTROL!$C$19, $C$13, 100%, $E$13)</f>
        <v>7.5515999999999996</v>
      </c>
      <c r="J302" s="61">
        <f>4.9534 * CHOOSE(CONTROL!$C$19, $C$13, 100%, $E$13)</f>
        <v>4.9534000000000002</v>
      </c>
      <c r="K302" s="61">
        <f>4.9535 * CHOOSE(CONTROL!$C$19, $C$13, 100%, $E$13)</f>
        <v>4.9535</v>
      </c>
    </row>
    <row r="303" spans="1:11" ht="15">
      <c r="A303" s="13">
        <v>51075</v>
      </c>
      <c r="B303" s="60">
        <f>4.534 * CHOOSE(CONTROL!$C$19, $C$13, 100%, $E$13)</f>
        <v>4.5339999999999998</v>
      </c>
      <c r="C303" s="60">
        <f>4.534 * CHOOSE(CONTROL!$C$19, $C$13, 100%, $E$13)</f>
        <v>4.5339999999999998</v>
      </c>
      <c r="D303" s="60">
        <f>4.5491 * CHOOSE(CONTROL!$C$19, $C$13, 100%, $E$13)</f>
        <v>4.5491000000000001</v>
      </c>
      <c r="E303" s="61">
        <f>4.9704 * CHOOSE(CONTROL!$C$19, $C$13, 100%, $E$13)</f>
        <v>4.9703999999999997</v>
      </c>
      <c r="F303" s="61">
        <f>4.9704 * CHOOSE(CONTROL!$C$19, $C$13, 100%, $E$13)</f>
        <v>4.9703999999999997</v>
      </c>
      <c r="G303" s="61">
        <f>4.9706 * CHOOSE(CONTROL!$C$19, $C$13, 100%, $E$13)</f>
        <v>4.9706000000000001</v>
      </c>
      <c r="H303" s="61">
        <f>7.5671* CHOOSE(CONTROL!$C$19, $C$13, 100%, $E$13)</f>
        <v>7.5670999999999999</v>
      </c>
      <c r="I303" s="61">
        <f>7.5673 * CHOOSE(CONTROL!$C$19, $C$13, 100%, $E$13)</f>
        <v>7.5673000000000004</v>
      </c>
      <c r="J303" s="61">
        <f>4.9704 * CHOOSE(CONTROL!$C$19, $C$13, 100%, $E$13)</f>
        <v>4.9703999999999997</v>
      </c>
      <c r="K303" s="61">
        <f>4.9706 * CHOOSE(CONTROL!$C$19, $C$13, 100%, $E$13)</f>
        <v>4.9706000000000001</v>
      </c>
    </row>
    <row r="304" spans="1:11" ht="15">
      <c r="A304" s="13">
        <v>51105</v>
      </c>
      <c r="B304" s="60">
        <f>4.534 * CHOOSE(CONTROL!$C$19, $C$13, 100%, $E$13)</f>
        <v>4.5339999999999998</v>
      </c>
      <c r="C304" s="60">
        <f>4.534 * CHOOSE(CONTROL!$C$19, $C$13, 100%, $E$13)</f>
        <v>4.5339999999999998</v>
      </c>
      <c r="D304" s="60">
        <f>4.5491 * CHOOSE(CONTROL!$C$19, $C$13, 100%, $E$13)</f>
        <v>4.5491000000000001</v>
      </c>
      <c r="E304" s="61">
        <f>4.9331 * CHOOSE(CONTROL!$C$19, $C$13, 100%, $E$13)</f>
        <v>4.9330999999999996</v>
      </c>
      <c r="F304" s="61">
        <f>4.9331 * CHOOSE(CONTROL!$C$19, $C$13, 100%, $E$13)</f>
        <v>4.9330999999999996</v>
      </c>
      <c r="G304" s="61">
        <f>4.9333 * CHOOSE(CONTROL!$C$19, $C$13, 100%, $E$13)</f>
        <v>4.9333</v>
      </c>
      <c r="H304" s="61">
        <f>7.5829* CHOOSE(CONTROL!$C$19, $C$13, 100%, $E$13)</f>
        <v>7.5829000000000004</v>
      </c>
      <c r="I304" s="61">
        <f>7.5831 * CHOOSE(CONTROL!$C$19, $C$13, 100%, $E$13)</f>
        <v>7.5831</v>
      </c>
      <c r="J304" s="61">
        <f>4.9331 * CHOOSE(CONTROL!$C$19, $C$13, 100%, $E$13)</f>
        <v>4.9330999999999996</v>
      </c>
      <c r="K304" s="61">
        <f>4.9333 * CHOOSE(CONTROL!$C$19, $C$13, 100%, $E$13)</f>
        <v>4.9333</v>
      </c>
    </row>
    <row r="305" spans="1:11" ht="15">
      <c r="A305" s="13">
        <v>51136</v>
      </c>
      <c r="B305" s="60">
        <f>4.5746 * CHOOSE(CONTROL!$C$19, $C$13, 100%, $E$13)</f>
        <v>4.5746000000000002</v>
      </c>
      <c r="C305" s="60">
        <f>4.5746 * CHOOSE(CONTROL!$C$19, $C$13, 100%, $E$13)</f>
        <v>4.5746000000000002</v>
      </c>
      <c r="D305" s="60">
        <f>4.5898 * CHOOSE(CONTROL!$C$19, $C$13, 100%, $E$13)</f>
        <v>4.5898000000000003</v>
      </c>
      <c r="E305" s="61">
        <f>5.0083 * CHOOSE(CONTROL!$C$19, $C$13, 100%, $E$13)</f>
        <v>5.0083000000000002</v>
      </c>
      <c r="F305" s="61">
        <f>5.0083 * CHOOSE(CONTROL!$C$19, $C$13, 100%, $E$13)</f>
        <v>5.0083000000000002</v>
      </c>
      <c r="G305" s="61">
        <f>5.0085 * CHOOSE(CONTROL!$C$19, $C$13, 100%, $E$13)</f>
        <v>5.0084999999999997</v>
      </c>
      <c r="H305" s="61">
        <f>7.5987* CHOOSE(CONTROL!$C$19, $C$13, 100%, $E$13)</f>
        <v>7.5987</v>
      </c>
      <c r="I305" s="61">
        <f>7.5989 * CHOOSE(CONTROL!$C$19, $C$13, 100%, $E$13)</f>
        <v>7.5989000000000004</v>
      </c>
      <c r="J305" s="61">
        <f>5.0083 * CHOOSE(CONTROL!$C$19, $C$13, 100%, $E$13)</f>
        <v>5.0083000000000002</v>
      </c>
      <c r="K305" s="61">
        <f>5.0085 * CHOOSE(CONTROL!$C$19, $C$13, 100%, $E$13)</f>
        <v>5.0084999999999997</v>
      </c>
    </row>
    <row r="306" spans="1:11" ht="15">
      <c r="A306" s="13">
        <v>51167</v>
      </c>
      <c r="B306" s="60">
        <f>4.5716 * CHOOSE(CONTROL!$C$19, $C$13, 100%, $E$13)</f>
        <v>4.5716000000000001</v>
      </c>
      <c r="C306" s="60">
        <f>4.5716 * CHOOSE(CONTROL!$C$19, $C$13, 100%, $E$13)</f>
        <v>4.5716000000000001</v>
      </c>
      <c r="D306" s="60">
        <f>4.5867 * CHOOSE(CONTROL!$C$19, $C$13, 100%, $E$13)</f>
        <v>4.5867000000000004</v>
      </c>
      <c r="E306" s="61">
        <f>4.9335 * CHOOSE(CONTROL!$C$19, $C$13, 100%, $E$13)</f>
        <v>4.9335000000000004</v>
      </c>
      <c r="F306" s="61">
        <f>4.9335 * CHOOSE(CONTROL!$C$19, $C$13, 100%, $E$13)</f>
        <v>4.9335000000000004</v>
      </c>
      <c r="G306" s="61">
        <f>4.9336 * CHOOSE(CONTROL!$C$19, $C$13, 100%, $E$13)</f>
        <v>4.9336000000000002</v>
      </c>
      <c r="H306" s="61">
        <f>7.6145* CHOOSE(CONTROL!$C$19, $C$13, 100%, $E$13)</f>
        <v>7.6144999999999996</v>
      </c>
      <c r="I306" s="61">
        <f>7.6147 * CHOOSE(CONTROL!$C$19, $C$13, 100%, $E$13)</f>
        <v>7.6147</v>
      </c>
      <c r="J306" s="61">
        <f>4.9335 * CHOOSE(CONTROL!$C$19, $C$13, 100%, $E$13)</f>
        <v>4.9335000000000004</v>
      </c>
      <c r="K306" s="61">
        <f>4.9336 * CHOOSE(CONTROL!$C$19, $C$13, 100%, $E$13)</f>
        <v>4.9336000000000002</v>
      </c>
    </row>
    <row r="307" spans="1:11" ht="15">
      <c r="A307" s="13">
        <v>51196</v>
      </c>
      <c r="B307" s="60">
        <f>4.5685 * CHOOSE(CONTROL!$C$19, $C$13, 100%, $E$13)</f>
        <v>4.5685000000000002</v>
      </c>
      <c r="C307" s="60">
        <f>4.5685 * CHOOSE(CONTROL!$C$19, $C$13, 100%, $E$13)</f>
        <v>4.5685000000000002</v>
      </c>
      <c r="D307" s="60">
        <f>4.5837 * CHOOSE(CONTROL!$C$19, $C$13, 100%, $E$13)</f>
        <v>4.5837000000000003</v>
      </c>
      <c r="E307" s="61">
        <f>4.9887 * CHOOSE(CONTROL!$C$19, $C$13, 100%, $E$13)</f>
        <v>4.9886999999999997</v>
      </c>
      <c r="F307" s="61">
        <f>4.9887 * CHOOSE(CONTROL!$C$19, $C$13, 100%, $E$13)</f>
        <v>4.9886999999999997</v>
      </c>
      <c r="G307" s="61">
        <f>4.9888 * CHOOSE(CONTROL!$C$19, $C$13, 100%, $E$13)</f>
        <v>4.9888000000000003</v>
      </c>
      <c r="H307" s="61">
        <f>7.6304* CHOOSE(CONTROL!$C$19, $C$13, 100%, $E$13)</f>
        <v>7.6303999999999998</v>
      </c>
      <c r="I307" s="61">
        <f>7.6306 * CHOOSE(CONTROL!$C$19, $C$13, 100%, $E$13)</f>
        <v>7.6306000000000003</v>
      </c>
      <c r="J307" s="61">
        <f>4.9887 * CHOOSE(CONTROL!$C$19, $C$13, 100%, $E$13)</f>
        <v>4.9886999999999997</v>
      </c>
      <c r="K307" s="61">
        <f>4.9888 * CHOOSE(CONTROL!$C$19, $C$13, 100%, $E$13)</f>
        <v>4.9888000000000003</v>
      </c>
    </row>
    <row r="308" spans="1:11" ht="15">
      <c r="A308" s="13">
        <v>51227</v>
      </c>
      <c r="B308" s="60">
        <f>4.5668 * CHOOSE(CONTROL!$C$19, $C$13, 100%, $E$13)</f>
        <v>4.5667999999999997</v>
      </c>
      <c r="C308" s="60">
        <f>4.5668 * CHOOSE(CONTROL!$C$19, $C$13, 100%, $E$13)</f>
        <v>4.5667999999999997</v>
      </c>
      <c r="D308" s="60">
        <f>4.582 * CHOOSE(CONTROL!$C$19, $C$13, 100%, $E$13)</f>
        <v>4.5819999999999999</v>
      </c>
      <c r="E308" s="61">
        <f>5.046 * CHOOSE(CONTROL!$C$19, $C$13, 100%, $E$13)</f>
        <v>5.0460000000000003</v>
      </c>
      <c r="F308" s="61">
        <f>5.046 * CHOOSE(CONTROL!$C$19, $C$13, 100%, $E$13)</f>
        <v>5.0460000000000003</v>
      </c>
      <c r="G308" s="61">
        <f>5.0462 * CHOOSE(CONTROL!$C$19, $C$13, 100%, $E$13)</f>
        <v>5.0461999999999998</v>
      </c>
      <c r="H308" s="61">
        <f>7.6463* CHOOSE(CONTROL!$C$19, $C$13, 100%, $E$13)</f>
        <v>7.6463000000000001</v>
      </c>
      <c r="I308" s="61">
        <f>7.6465 * CHOOSE(CONTROL!$C$19, $C$13, 100%, $E$13)</f>
        <v>7.6464999999999996</v>
      </c>
      <c r="J308" s="61">
        <f>5.046 * CHOOSE(CONTROL!$C$19, $C$13, 100%, $E$13)</f>
        <v>5.0460000000000003</v>
      </c>
      <c r="K308" s="61">
        <f>5.0462 * CHOOSE(CONTROL!$C$19, $C$13, 100%, $E$13)</f>
        <v>5.0461999999999998</v>
      </c>
    </row>
    <row r="309" spans="1:11" ht="15">
      <c r="A309" s="13">
        <v>51257</v>
      </c>
      <c r="B309" s="60">
        <f>4.5668 * CHOOSE(CONTROL!$C$19, $C$13, 100%, $E$13)</f>
        <v>4.5667999999999997</v>
      </c>
      <c r="C309" s="60">
        <f>4.5668 * CHOOSE(CONTROL!$C$19, $C$13, 100%, $E$13)</f>
        <v>4.5667999999999997</v>
      </c>
      <c r="D309" s="60">
        <f>4.5971 * CHOOSE(CONTROL!$C$19, $C$13, 100%, $E$13)</f>
        <v>4.5971000000000002</v>
      </c>
      <c r="E309" s="61">
        <f>5.0691 * CHOOSE(CONTROL!$C$19, $C$13, 100%, $E$13)</f>
        <v>5.0690999999999997</v>
      </c>
      <c r="F309" s="61">
        <f>5.0691 * CHOOSE(CONTROL!$C$19, $C$13, 100%, $E$13)</f>
        <v>5.0690999999999997</v>
      </c>
      <c r="G309" s="61">
        <f>5.071 * CHOOSE(CONTROL!$C$19, $C$13, 100%, $E$13)</f>
        <v>5.0709999999999997</v>
      </c>
      <c r="H309" s="61">
        <f>7.6622* CHOOSE(CONTROL!$C$19, $C$13, 100%, $E$13)</f>
        <v>7.6622000000000003</v>
      </c>
      <c r="I309" s="61">
        <f>7.6641 * CHOOSE(CONTROL!$C$19, $C$13, 100%, $E$13)</f>
        <v>7.6641000000000004</v>
      </c>
      <c r="J309" s="61">
        <f>5.0691 * CHOOSE(CONTROL!$C$19, $C$13, 100%, $E$13)</f>
        <v>5.0690999999999997</v>
      </c>
      <c r="K309" s="61">
        <f>5.071 * CHOOSE(CONTROL!$C$19, $C$13, 100%, $E$13)</f>
        <v>5.0709999999999997</v>
      </c>
    </row>
    <row r="310" spans="1:11" ht="15">
      <c r="A310" s="13">
        <v>51288</v>
      </c>
      <c r="B310" s="60">
        <f>4.5729 * CHOOSE(CONTROL!$C$19, $C$13, 100%, $E$13)</f>
        <v>4.5728999999999997</v>
      </c>
      <c r="C310" s="60">
        <f>4.5729 * CHOOSE(CONTROL!$C$19, $C$13, 100%, $E$13)</f>
        <v>4.5728999999999997</v>
      </c>
      <c r="D310" s="60">
        <f>4.6032 * CHOOSE(CONTROL!$C$19, $C$13, 100%, $E$13)</f>
        <v>4.6032000000000002</v>
      </c>
      <c r="E310" s="61">
        <f>5.0502 * CHOOSE(CONTROL!$C$19, $C$13, 100%, $E$13)</f>
        <v>5.0502000000000002</v>
      </c>
      <c r="F310" s="61">
        <f>5.0502 * CHOOSE(CONTROL!$C$19, $C$13, 100%, $E$13)</f>
        <v>5.0502000000000002</v>
      </c>
      <c r="G310" s="61">
        <f>5.0521 * CHOOSE(CONTROL!$C$19, $C$13, 100%, $E$13)</f>
        <v>5.0521000000000003</v>
      </c>
      <c r="H310" s="61">
        <f>7.6782* CHOOSE(CONTROL!$C$19, $C$13, 100%, $E$13)</f>
        <v>7.6782000000000004</v>
      </c>
      <c r="I310" s="61">
        <f>7.6801 * CHOOSE(CONTROL!$C$19, $C$13, 100%, $E$13)</f>
        <v>7.6801000000000004</v>
      </c>
      <c r="J310" s="61">
        <f>5.0502 * CHOOSE(CONTROL!$C$19, $C$13, 100%, $E$13)</f>
        <v>5.0502000000000002</v>
      </c>
      <c r="K310" s="61">
        <f>5.0521 * CHOOSE(CONTROL!$C$19, $C$13, 100%, $E$13)</f>
        <v>5.0521000000000003</v>
      </c>
    </row>
    <row r="311" spans="1:11" ht="15">
      <c r="A311" s="13">
        <v>51318</v>
      </c>
      <c r="B311" s="60">
        <f>4.6474 * CHOOSE(CONTROL!$C$19, $C$13, 100%, $E$13)</f>
        <v>4.6474000000000002</v>
      </c>
      <c r="C311" s="60">
        <f>4.6474 * CHOOSE(CONTROL!$C$19, $C$13, 100%, $E$13)</f>
        <v>4.6474000000000002</v>
      </c>
      <c r="D311" s="60">
        <f>4.6777 * CHOOSE(CONTROL!$C$19, $C$13, 100%, $E$13)</f>
        <v>4.6776999999999997</v>
      </c>
      <c r="E311" s="61">
        <f>5.1494 * CHOOSE(CONTROL!$C$19, $C$13, 100%, $E$13)</f>
        <v>5.1494</v>
      </c>
      <c r="F311" s="61">
        <f>5.1494 * CHOOSE(CONTROL!$C$19, $C$13, 100%, $E$13)</f>
        <v>5.1494</v>
      </c>
      <c r="G311" s="61">
        <f>5.1513 * CHOOSE(CONTROL!$C$19, $C$13, 100%, $E$13)</f>
        <v>5.1513</v>
      </c>
      <c r="H311" s="61">
        <f>7.6942* CHOOSE(CONTROL!$C$19, $C$13, 100%, $E$13)</f>
        <v>7.6942000000000004</v>
      </c>
      <c r="I311" s="61">
        <f>7.6961 * CHOOSE(CONTROL!$C$19, $C$13, 100%, $E$13)</f>
        <v>7.6961000000000004</v>
      </c>
      <c r="J311" s="61">
        <f>5.1494 * CHOOSE(CONTROL!$C$19, $C$13, 100%, $E$13)</f>
        <v>5.1494</v>
      </c>
      <c r="K311" s="61">
        <f>5.1513 * CHOOSE(CONTROL!$C$19, $C$13, 100%, $E$13)</f>
        <v>5.1513</v>
      </c>
    </row>
    <row r="312" spans="1:11" ht="15">
      <c r="A312" s="13">
        <v>51349</v>
      </c>
      <c r="B312" s="60">
        <f>4.6541 * CHOOSE(CONTROL!$C$19, $C$13, 100%, $E$13)</f>
        <v>4.6540999999999997</v>
      </c>
      <c r="C312" s="60">
        <f>4.6541 * CHOOSE(CONTROL!$C$19, $C$13, 100%, $E$13)</f>
        <v>4.6540999999999997</v>
      </c>
      <c r="D312" s="60">
        <f>4.6844 * CHOOSE(CONTROL!$C$19, $C$13, 100%, $E$13)</f>
        <v>4.6844000000000001</v>
      </c>
      <c r="E312" s="61">
        <f>5.0848 * CHOOSE(CONTROL!$C$19, $C$13, 100%, $E$13)</f>
        <v>5.0848000000000004</v>
      </c>
      <c r="F312" s="61">
        <f>5.0848 * CHOOSE(CONTROL!$C$19, $C$13, 100%, $E$13)</f>
        <v>5.0848000000000004</v>
      </c>
      <c r="G312" s="61">
        <f>5.0867 * CHOOSE(CONTROL!$C$19, $C$13, 100%, $E$13)</f>
        <v>5.0867000000000004</v>
      </c>
      <c r="H312" s="61">
        <f>7.7102* CHOOSE(CONTROL!$C$19, $C$13, 100%, $E$13)</f>
        <v>7.7102000000000004</v>
      </c>
      <c r="I312" s="61">
        <f>7.7121 * CHOOSE(CONTROL!$C$19, $C$13, 100%, $E$13)</f>
        <v>7.7121000000000004</v>
      </c>
      <c r="J312" s="61">
        <f>5.0848 * CHOOSE(CONTROL!$C$19, $C$13, 100%, $E$13)</f>
        <v>5.0848000000000004</v>
      </c>
      <c r="K312" s="61">
        <f>5.0867 * CHOOSE(CONTROL!$C$19, $C$13, 100%, $E$13)</f>
        <v>5.0867000000000004</v>
      </c>
    </row>
    <row r="313" spans="1:11" ht="15">
      <c r="A313" s="13">
        <v>51380</v>
      </c>
      <c r="B313" s="60">
        <f>4.651 * CHOOSE(CONTROL!$C$19, $C$13, 100%, $E$13)</f>
        <v>4.6509999999999998</v>
      </c>
      <c r="C313" s="60">
        <f>4.651 * CHOOSE(CONTROL!$C$19, $C$13, 100%, $E$13)</f>
        <v>4.6509999999999998</v>
      </c>
      <c r="D313" s="60">
        <f>4.6814 * CHOOSE(CONTROL!$C$19, $C$13, 100%, $E$13)</f>
        <v>4.6814</v>
      </c>
      <c r="E313" s="61">
        <f>5.0749 * CHOOSE(CONTROL!$C$19, $C$13, 100%, $E$13)</f>
        <v>5.0749000000000004</v>
      </c>
      <c r="F313" s="61">
        <f>5.0749 * CHOOSE(CONTROL!$C$19, $C$13, 100%, $E$13)</f>
        <v>5.0749000000000004</v>
      </c>
      <c r="G313" s="61">
        <f>5.0769 * CHOOSE(CONTROL!$C$19, $C$13, 100%, $E$13)</f>
        <v>5.0769000000000002</v>
      </c>
      <c r="H313" s="61">
        <f>7.7263* CHOOSE(CONTROL!$C$19, $C$13, 100%, $E$13)</f>
        <v>7.7263000000000002</v>
      </c>
      <c r="I313" s="61">
        <f>7.7282 * CHOOSE(CONTROL!$C$19, $C$13, 100%, $E$13)</f>
        <v>7.7282000000000002</v>
      </c>
      <c r="J313" s="61">
        <f>5.0749 * CHOOSE(CONTROL!$C$19, $C$13, 100%, $E$13)</f>
        <v>5.0749000000000004</v>
      </c>
      <c r="K313" s="61">
        <f>5.0769 * CHOOSE(CONTROL!$C$19, $C$13, 100%, $E$13)</f>
        <v>5.0769000000000002</v>
      </c>
    </row>
    <row r="314" spans="1:11" ht="15">
      <c r="A314" s="13">
        <v>51410</v>
      </c>
      <c r="B314" s="60">
        <f>4.6487 * CHOOSE(CONTROL!$C$19, $C$13, 100%, $E$13)</f>
        <v>4.6486999999999998</v>
      </c>
      <c r="C314" s="60">
        <f>4.6487 * CHOOSE(CONTROL!$C$19, $C$13, 100%, $E$13)</f>
        <v>4.6486999999999998</v>
      </c>
      <c r="D314" s="60">
        <f>4.6639 * CHOOSE(CONTROL!$C$19, $C$13, 100%, $E$13)</f>
        <v>4.6638999999999999</v>
      </c>
      <c r="E314" s="61">
        <f>5.0923 * CHOOSE(CONTROL!$C$19, $C$13, 100%, $E$13)</f>
        <v>5.0922999999999998</v>
      </c>
      <c r="F314" s="61">
        <f>5.0923 * CHOOSE(CONTROL!$C$19, $C$13, 100%, $E$13)</f>
        <v>5.0922999999999998</v>
      </c>
      <c r="G314" s="61">
        <f>5.0925 * CHOOSE(CONTROL!$C$19, $C$13, 100%, $E$13)</f>
        <v>5.0925000000000002</v>
      </c>
      <c r="H314" s="61">
        <f>7.7424* CHOOSE(CONTROL!$C$19, $C$13, 100%, $E$13)</f>
        <v>7.7423999999999999</v>
      </c>
      <c r="I314" s="61">
        <f>7.7426 * CHOOSE(CONTROL!$C$19, $C$13, 100%, $E$13)</f>
        <v>7.7426000000000004</v>
      </c>
      <c r="J314" s="61">
        <f>5.0923 * CHOOSE(CONTROL!$C$19, $C$13, 100%, $E$13)</f>
        <v>5.0922999999999998</v>
      </c>
      <c r="K314" s="61">
        <f>5.0925 * CHOOSE(CONTROL!$C$19, $C$13, 100%, $E$13)</f>
        <v>5.0925000000000002</v>
      </c>
    </row>
    <row r="315" spans="1:11" ht="15">
      <c r="A315" s="13">
        <v>51441</v>
      </c>
      <c r="B315" s="60">
        <f>4.6517 * CHOOSE(CONTROL!$C$19, $C$13, 100%, $E$13)</f>
        <v>4.6516999999999999</v>
      </c>
      <c r="C315" s="60">
        <f>4.6517 * CHOOSE(CONTROL!$C$19, $C$13, 100%, $E$13)</f>
        <v>4.6516999999999999</v>
      </c>
      <c r="D315" s="60">
        <f>4.6669 * CHOOSE(CONTROL!$C$19, $C$13, 100%, $E$13)</f>
        <v>4.6669</v>
      </c>
      <c r="E315" s="61">
        <f>5.1098 * CHOOSE(CONTROL!$C$19, $C$13, 100%, $E$13)</f>
        <v>5.1097999999999999</v>
      </c>
      <c r="F315" s="61">
        <f>5.1098 * CHOOSE(CONTROL!$C$19, $C$13, 100%, $E$13)</f>
        <v>5.1097999999999999</v>
      </c>
      <c r="G315" s="61">
        <f>5.11 * CHOOSE(CONTROL!$C$19, $C$13, 100%, $E$13)</f>
        <v>5.1100000000000003</v>
      </c>
      <c r="H315" s="61">
        <f>7.7585* CHOOSE(CONTROL!$C$19, $C$13, 100%, $E$13)</f>
        <v>7.7584999999999997</v>
      </c>
      <c r="I315" s="61">
        <f>7.7587 * CHOOSE(CONTROL!$C$19, $C$13, 100%, $E$13)</f>
        <v>7.7587000000000002</v>
      </c>
      <c r="J315" s="61">
        <f>5.1098 * CHOOSE(CONTROL!$C$19, $C$13, 100%, $E$13)</f>
        <v>5.1097999999999999</v>
      </c>
      <c r="K315" s="61">
        <f>5.11 * CHOOSE(CONTROL!$C$19, $C$13, 100%, $E$13)</f>
        <v>5.1100000000000003</v>
      </c>
    </row>
    <row r="316" spans="1:11" ht="15">
      <c r="A316" s="13">
        <v>51471</v>
      </c>
      <c r="B316" s="60">
        <f>4.6517 * CHOOSE(CONTROL!$C$19, $C$13, 100%, $E$13)</f>
        <v>4.6516999999999999</v>
      </c>
      <c r="C316" s="60">
        <f>4.6517 * CHOOSE(CONTROL!$C$19, $C$13, 100%, $E$13)</f>
        <v>4.6516999999999999</v>
      </c>
      <c r="D316" s="60">
        <f>4.6669 * CHOOSE(CONTROL!$C$19, $C$13, 100%, $E$13)</f>
        <v>4.6669</v>
      </c>
      <c r="E316" s="61">
        <f>5.0713 * CHOOSE(CONTROL!$C$19, $C$13, 100%, $E$13)</f>
        <v>5.0712999999999999</v>
      </c>
      <c r="F316" s="61">
        <f>5.0713 * CHOOSE(CONTROL!$C$19, $C$13, 100%, $E$13)</f>
        <v>5.0712999999999999</v>
      </c>
      <c r="G316" s="61">
        <f>5.0715 * CHOOSE(CONTROL!$C$19, $C$13, 100%, $E$13)</f>
        <v>5.0715000000000003</v>
      </c>
      <c r="H316" s="61">
        <f>7.7747* CHOOSE(CONTROL!$C$19, $C$13, 100%, $E$13)</f>
        <v>7.7747000000000002</v>
      </c>
      <c r="I316" s="61">
        <f>7.7749 * CHOOSE(CONTROL!$C$19, $C$13, 100%, $E$13)</f>
        <v>7.7748999999999997</v>
      </c>
      <c r="J316" s="61">
        <f>5.0713 * CHOOSE(CONTROL!$C$19, $C$13, 100%, $E$13)</f>
        <v>5.0712999999999999</v>
      </c>
      <c r="K316" s="61">
        <f>5.0715 * CHOOSE(CONTROL!$C$19, $C$13, 100%, $E$13)</f>
        <v>5.0715000000000003</v>
      </c>
    </row>
    <row r="317" spans="1:11" ht="15">
      <c r="A317" s="13">
        <v>51502</v>
      </c>
      <c r="B317" s="60">
        <f>4.692 * CHOOSE(CONTROL!$C$19, $C$13, 100%, $E$13)</f>
        <v>4.6920000000000002</v>
      </c>
      <c r="C317" s="60">
        <f>4.692 * CHOOSE(CONTROL!$C$19, $C$13, 100%, $E$13)</f>
        <v>4.6920000000000002</v>
      </c>
      <c r="D317" s="60">
        <f>4.7072 * CHOOSE(CONTROL!$C$19, $C$13, 100%, $E$13)</f>
        <v>4.7072000000000003</v>
      </c>
      <c r="E317" s="61">
        <f>5.1487 * CHOOSE(CONTROL!$C$19, $C$13, 100%, $E$13)</f>
        <v>5.1486999999999998</v>
      </c>
      <c r="F317" s="61">
        <f>5.1487 * CHOOSE(CONTROL!$C$19, $C$13, 100%, $E$13)</f>
        <v>5.1486999999999998</v>
      </c>
      <c r="G317" s="61">
        <f>5.1489 * CHOOSE(CONTROL!$C$19, $C$13, 100%, $E$13)</f>
        <v>5.1489000000000003</v>
      </c>
      <c r="H317" s="61">
        <f>7.7909* CHOOSE(CONTROL!$C$19, $C$13, 100%, $E$13)</f>
        <v>7.7908999999999997</v>
      </c>
      <c r="I317" s="61">
        <f>7.791 * CHOOSE(CONTROL!$C$19, $C$13, 100%, $E$13)</f>
        <v>7.7910000000000004</v>
      </c>
      <c r="J317" s="61">
        <f>5.1487 * CHOOSE(CONTROL!$C$19, $C$13, 100%, $E$13)</f>
        <v>5.1486999999999998</v>
      </c>
      <c r="K317" s="61">
        <f>5.1489 * CHOOSE(CONTROL!$C$19, $C$13, 100%, $E$13)</f>
        <v>5.1489000000000003</v>
      </c>
    </row>
    <row r="318" spans="1:11" ht="15">
      <c r="A318" s="13">
        <v>51533</v>
      </c>
      <c r="B318" s="60">
        <f>4.689 * CHOOSE(CONTROL!$C$19, $C$13, 100%, $E$13)</f>
        <v>4.6890000000000001</v>
      </c>
      <c r="C318" s="60">
        <f>4.689 * CHOOSE(CONTROL!$C$19, $C$13, 100%, $E$13)</f>
        <v>4.6890000000000001</v>
      </c>
      <c r="D318" s="60">
        <f>4.7041 * CHOOSE(CONTROL!$C$19, $C$13, 100%, $E$13)</f>
        <v>4.7041000000000004</v>
      </c>
      <c r="E318" s="61">
        <f>5.0716 * CHOOSE(CONTROL!$C$19, $C$13, 100%, $E$13)</f>
        <v>5.0716000000000001</v>
      </c>
      <c r="F318" s="61">
        <f>5.0716 * CHOOSE(CONTROL!$C$19, $C$13, 100%, $E$13)</f>
        <v>5.0716000000000001</v>
      </c>
      <c r="G318" s="61">
        <f>5.0718 * CHOOSE(CONTROL!$C$19, $C$13, 100%, $E$13)</f>
        <v>5.0717999999999996</v>
      </c>
      <c r="H318" s="61">
        <f>7.8071* CHOOSE(CONTROL!$C$19, $C$13, 100%, $E$13)</f>
        <v>7.8071000000000002</v>
      </c>
      <c r="I318" s="61">
        <f>7.8073 * CHOOSE(CONTROL!$C$19, $C$13, 100%, $E$13)</f>
        <v>7.8072999999999997</v>
      </c>
      <c r="J318" s="61">
        <f>5.0716 * CHOOSE(CONTROL!$C$19, $C$13, 100%, $E$13)</f>
        <v>5.0716000000000001</v>
      </c>
      <c r="K318" s="61">
        <f>5.0718 * CHOOSE(CONTROL!$C$19, $C$13, 100%, $E$13)</f>
        <v>5.0717999999999996</v>
      </c>
    </row>
    <row r="319" spans="1:11" ht="15">
      <c r="A319" s="13">
        <v>51561</v>
      </c>
      <c r="B319" s="60">
        <f>4.6859 * CHOOSE(CONTROL!$C$19, $C$13, 100%, $E$13)</f>
        <v>4.6859000000000002</v>
      </c>
      <c r="C319" s="60">
        <f>4.6859 * CHOOSE(CONTROL!$C$19, $C$13, 100%, $E$13)</f>
        <v>4.6859000000000002</v>
      </c>
      <c r="D319" s="60">
        <f>4.7011 * CHOOSE(CONTROL!$C$19, $C$13, 100%, $E$13)</f>
        <v>4.7011000000000003</v>
      </c>
      <c r="E319" s="61">
        <f>5.1286 * CHOOSE(CONTROL!$C$19, $C$13, 100%, $E$13)</f>
        <v>5.1285999999999996</v>
      </c>
      <c r="F319" s="61">
        <f>5.1286 * CHOOSE(CONTROL!$C$19, $C$13, 100%, $E$13)</f>
        <v>5.1285999999999996</v>
      </c>
      <c r="G319" s="61">
        <f>5.1288 * CHOOSE(CONTROL!$C$19, $C$13, 100%, $E$13)</f>
        <v>5.1288</v>
      </c>
      <c r="H319" s="61">
        <f>7.8234* CHOOSE(CONTROL!$C$19, $C$13, 100%, $E$13)</f>
        <v>7.8234000000000004</v>
      </c>
      <c r="I319" s="61">
        <f>7.8235 * CHOOSE(CONTROL!$C$19, $C$13, 100%, $E$13)</f>
        <v>7.8235000000000001</v>
      </c>
      <c r="J319" s="61">
        <f>5.1286 * CHOOSE(CONTROL!$C$19, $C$13, 100%, $E$13)</f>
        <v>5.1285999999999996</v>
      </c>
      <c r="K319" s="61">
        <f>5.1288 * CHOOSE(CONTROL!$C$19, $C$13, 100%, $E$13)</f>
        <v>5.1288</v>
      </c>
    </row>
    <row r="320" spans="1:11" ht="15">
      <c r="A320" s="13">
        <v>51592</v>
      </c>
      <c r="B320" s="60">
        <f>4.6843 * CHOOSE(CONTROL!$C$19, $C$13, 100%, $E$13)</f>
        <v>4.6843000000000004</v>
      </c>
      <c r="C320" s="60">
        <f>4.6843 * CHOOSE(CONTROL!$C$19, $C$13, 100%, $E$13)</f>
        <v>4.6843000000000004</v>
      </c>
      <c r="D320" s="60">
        <f>4.6995 * CHOOSE(CONTROL!$C$19, $C$13, 100%, $E$13)</f>
        <v>4.6994999999999996</v>
      </c>
      <c r="E320" s="61">
        <f>5.1879 * CHOOSE(CONTROL!$C$19, $C$13, 100%, $E$13)</f>
        <v>5.1879</v>
      </c>
      <c r="F320" s="61">
        <f>5.1879 * CHOOSE(CONTROL!$C$19, $C$13, 100%, $E$13)</f>
        <v>5.1879</v>
      </c>
      <c r="G320" s="61">
        <f>5.1881 * CHOOSE(CONTROL!$C$19, $C$13, 100%, $E$13)</f>
        <v>5.1881000000000004</v>
      </c>
      <c r="H320" s="61">
        <f>7.8397* CHOOSE(CONTROL!$C$19, $C$13, 100%, $E$13)</f>
        <v>7.8396999999999997</v>
      </c>
      <c r="I320" s="61">
        <f>7.8398 * CHOOSE(CONTROL!$C$19, $C$13, 100%, $E$13)</f>
        <v>7.8398000000000003</v>
      </c>
      <c r="J320" s="61">
        <f>5.1879 * CHOOSE(CONTROL!$C$19, $C$13, 100%, $E$13)</f>
        <v>5.1879</v>
      </c>
      <c r="K320" s="61">
        <f>5.1881 * CHOOSE(CONTROL!$C$19, $C$13, 100%, $E$13)</f>
        <v>5.1881000000000004</v>
      </c>
    </row>
    <row r="321" spans="1:11" ht="15">
      <c r="A321" s="13">
        <v>51622</v>
      </c>
      <c r="B321" s="60">
        <f>4.6843 * CHOOSE(CONTROL!$C$19, $C$13, 100%, $E$13)</f>
        <v>4.6843000000000004</v>
      </c>
      <c r="C321" s="60">
        <f>4.6843 * CHOOSE(CONTROL!$C$19, $C$13, 100%, $E$13)</f>
        <v>4.6843000000000004</v>
      </c>
      <c r="D321" s="60">
        <f>4.7146 * CHOOSE(CONTROL!$C$19, $C$13, 100%, $E$13)</f>
        <v>4.7145999999999999</v>
      </c>
      <c r="E321" s="61">
        <f>5.2117 * CHOOSE(CONTROL!$C$19, $C$13, 100%, $E$13)</f>
        <v>5.2117000000000004</v>
      </c>
      <c r="F321" s="61">
        <f>5.2117 * CHOOSE(CONTROL!$C$19, $C$13, 100%, $E$13)</f>
        <v>5.2117000000000004</v>
      </c>
      <c r="G321" s="61">
        <f>5.2136 * CHOOSE(CONTROL!$C$19, $C$13, 100%, $E$13)</f>
        <v>5.2135999999999996</v>
      </c>
      <c r="H321" s="61">
        <f>7.856* CHOOSE(CONTROL!$C$19, $C$13, 100%, $E$13)</f>
        <v>7.8559999999999999</v>
      </c>
      <c r="I321" s="61">
        <f>7.8579 * CHOOSE(CONTROL!$C$19, $C$13, 100%, $E$13)</f>
        <v>7.8578999999999999</v>
      </c>
      <c r="J321" s="61">
        <f>5.2117 * CHOOSE(CONTROL!$C$19, $C$13, 100%, $E$13)</f>
        <v>5.2117000000000004</v>
      </c>
      <c r="K321" s="61">
        <f>5.2136 * CHOOSE(CONTROL!$C$19, $C$13, 100%, $E$13)</f>
        <v>5.2135999999999996</v>
      </c>
    </row>
    <row r="322" spans="1:11" ht="15">
      <c r="A322" s="13">
        <v>51653</v>
      </c>
      <c r="B322" s="60">
        <f>4.6904 * CHOOSE(CONTROL!$C$19, $C$13, 100%, $E$13)</f>
        <v>4.6904000000000003</v>
      </c>
      <c r="C322" s="60">
        <f>4.6904 * CHOOSE(CONTROL!$C$19, $C$13, 100%, $E$13)</f>
        <v>4.6904000000000003</v>
      </c>
      <c r="D322" s="60">
        <f>4.7207 * CHOOSE(CONTROL!$C$19, $C$13, 100%, $E$13)</f>
        <v>4.7206999999999999</v>
      </c>
      <c r="E322" s="61">
        <f>5.1921 * CHOOSE(CONTROL!$C$19, $C$13, 100%, $E$13)</f>
        <v>5.1920999999999999</v>
      </c>
      <c r="F322" s="61">
        <f>5.1921 * CHOOSE(CONTROL!$C$19, $C$13, 100%, $E$13)</f>
        <v>5.1920999999999999</v>
      </c>
      <c r="G322" s="61">
        <f>5.194 * CHOOSE(CONTROL!$C$19, $C$13, 100%, $E$13)</f>
        <v>5.194</v>
      </c>
      <c r="H322" s="61">
        <f>7.8724* CHOOSE(CONTROL!$C$19, $C$13, 100%, $E$13)</f>
        <v>7.8723999999999998</v>
      </c>
      <c r="I322" s="61">
        <f>7.8743 * CHOOSE(CONTROL!$C$19, $C$13, 100%, $E$13)</f>
        <v>7.8742999999999999</v>
      </c>
      <c r="J322" s="61">
        <f>5.1921 * CHOOSE(CONTROL!$C$19, $C$13, 100%, $E$13)</f>
        <v>5.1920999999999999</v>
      </c>
      <c r="K322" s="61">
        <f>5.194 * CHOOSE(CONTROL!$C$19, $C$13, 100%, $E$13)</f>
        <v>5.194</v>
      </c>
    </row>
    <row r="323" spans="1:11" ht="15">
      <c r="A323" s="13">
        <v>51683</v>
      </c>
      <c r="B323" s="60">
        <f>4.7637 * CHOOSE(CONTROL!$C$19, $C$13, 100%, $E$13)</f>
        <v>4.7637</v>
      </c>
      <c r="C323" s="60">
        <f>4.7637 * CHOOSE(CONTROL!$C$19, $C$13, 100%, $E$13)</f>
        <v>4.7637</v>
      </c>
      <c r="D323" s="60">
        <f>4.794 * CHOOSE(CONTROL!$C$19, $C$13, 100%, $E$13)</f>
        <v>4.7939999999999996</v>
      </c>
      <c r="E323" s="61">
        <f>5.2939 * CHOOSE(CONTROL!$C$19, $C$13, 100%, $E$13)</f>
        <v>5.2938999999999998</v>
      </c>
      <c r="F323" s="61">
        <f>5.2939 * CHOOSE(CONTROL!$C$19, $C$13, 100%, $E$13)</f>
        <v>5.2938999999999998</v>
      </c>
      <c r="G323" s="61">
        <f>5.2958 * CHOOSE(CONTROL!$C$19, $C$13, 100%, $E$13)</f>
        <v>5.2957999999999998</v>
      </c>
      <c r="H323" s="61">
        <f>7.8888* CHOOSE(CONTROL!$C$19, $C$13, 100%, $E$13)</f>
        <v>7.8887999999999998</v>
      </c>
      <c r="I323" s="61">
        <f>7.8907 * CHOOSE(CONTROL!$C$19, $C$13, 100%, $E$13)</f>
        <v>7.8906999999999998</v>
      </c>
      <c r="J323" s="61">
        <f>5.2939 * CHOOSE(CONTROL!$C$19, $C$13, 100%, $E$13)</f>
        <v>5.2938999999999998</v>
      </c>
      <c r="K323" s="61">
        <f>5.2958 * CHOOSE(CONTROL!$C$19, $C$13, 100%, $E$13)</f>
        <v>5.2957999999999998</v>
      </c>
    </row>
    <row r="324" spans="1:11" ht="15">
      <c r="A324" s="13">
        <v>51714</v>
      </c>
      <c r="B324" s="60">
        <f>4.7704 * CHOOSE(CONTROL!$C$19, $C$13, 100%, $E$13)</f>
        <v>4.7704000000000004</v>
      </c>
      <c r="C324" s="60">
        <f>4.7704 * CHOOSE(CONTROL!$C$19, $C$13, 100%, $E$13)</f>
        <v>4.7704000000000004</v>
      </c>
      <c r="D324" s="60">
        <f>4.8007 * CHOOSE(CONTROL!$C$19, $C$13, 100%, $E$13)</f>
        <v>4.8007</v>
      </c>
      <c r="E324" s="61">
        <f>5.2271 * CHOOSE(CONTROL!$C$19, $C$13, 100%, $E$13)</f>
        <v>5.2271000000000001</v>
      </c>
      <c r="F324" s="61">
        <f>5.2271 * CHOOSE(CONTROL!$C$19, $C$13, 100%, $E$13)</f>
        <v>5.2271000000000001</v>
      </c>
      <c r="G324" s="61">
        <f>5.229 * CHOOSE(CONTROL!$C$19, $C$13, 100%, $E$13)</f>
        <v>5.2290000000000001</v>
      </c>
      <c r="H324" s="61">
        <f>7.9052* CHOOSE(CONTROL!$C$19, $C$13, 100%, $E$13)</f>
        <v>7.9051999999999998</v>
      </c>
      <c r="I324" s="61">
        <f>7.9071 * CHOOSE(CONTROL!$C$19, $C$13, 100%, $E$13)</f>
        <v>7.9070999999999998</v>
      </c>
      <c r="J324" s="61">
        <f>5.2271 * CHOOSE(CONTROL!$C$19, $C$13, 100%, $E$13)</f>
        <v>5.2271000000000001</v>
      </c>
      <c r="K324" s="61">
        <f>5.229 * CHOOSE(CONTROL!$C$19, $C$13, 100%, $E$13)</f>
        <v>5.2290000000000001</v>
      </c>
    </row>
    <row r="325" spans="1:11" ht="15">
      <c r="A325" s="13">
        <v>51745</v>
      </c>
      <c r="B325" s="60">
        <f>4.7673 * CHOOSE(CONTROL!$C$19, $C$13, 100%, $E$13)</f>
        <v>4.7672999999999996</v>
      </c>
      <c r="C325" s="60">
        <f>4.7673 * CHOOSE(CONTROL!$C$19, $C$13, 100%, $E$13)</f>
        <v>4.7672999999999996</v>
      </c>
      <c r="D325" s="60">
        <f>4.7977 * CHOOSE(CONTROL!$C$19, $C$13, 100%, $E$13)</f>
        <v>4.7976999999999999</v>
      </c>
      <c r="E325" s="61">
        <f>5.217 * CHOOSE(CONTROL!$C$19, $C$13, 100%, $E$13)</f>
        <v>5.2169999999999996</v>
      </c>
      <c r="F325" s="61">
        <f>5.217 * CHOOSE(CONTROL!$C$19, $C$13, 100%, $E$13)</f>
        <v>5.2169999999999996</v>
      </c>
      <c r="G325" s="61">
        <f>5.2189 * CHOOSE(CONTROL!$C$19, $C$13, 100%, $E$13)</f>
        <v>5.2188999999999997</v>
      </c>
      <c r="H325" s="61">
        <f>7.9217* CHOOSE(CONTROL!$C$19, $C$13, 100%, $E$13)</f>
        <v>7.9217000000000004</v>
      </c>
      <c r="I325" s="61">
        <f>7.9236 * CHOOSE(CONTROL!$C$19, $C$13, 100%, $E$13)</f>
        <v>7.9236000000000004</v>
      </c>
      <c r="J325" s="61">
        <f>5.217 * CHOOSE(CONTROL!$C$19, $C$13, 100%, $E$13)</f>
        <v>5.2169999999999996</v>
      </c>
      <c r="K325" s="61">
        <f>5.2189 * CHOOSE(CONTROL!$C$19, $C$13, 100%, $E$13)</f>
        <v>5.2188999999999997</v>
      </c>
    </row>
    <row r="326" spans="1:11" ht="15">
      <c r="A326" s="13">
        <v>51775</v>
      </c>
      <c r="B326" s="60">
        <f>4.7654 * CHOOSE(CONTROL!$C$19, $C$13, 100%, $E$13)</f>
        <v>4.7653999999999996</v>
      </c>
      <c r="C326" s="60">
        <f>4.7654 * CHOOSE(CONTROL!$C$19, $C$13, 100%, $E$13)</f>
        <v>4.7653999999999996</v>
      </c>
      <c r="D326" s="60">
        <f>4.7806 * CHOOSE(CONTROL!$C$19, $C$13, 100%, $E$13)</f>
        <v>4.7805999999999997</v>
      </c>
      <c r="E326" s="61">
        <f>5.2354 * CHOOSE(CONTROL!$C$19, $C$13, 100%, $E$13)</f>
        <v>5.2354000000000003</v>
      </c>
      <c r="F326" s="61">
        <f>5.2354 * CHOOSE(CONTROL!$C$19, $C$13, 100%, $E$13)</f>
        <v>5.2354000000000003</v>
      </c>
      <c r="G326" s="61">
        <f>5.2355 * CHOOSE(CONTROL!$C$19, $C$13, 100%, $E$13)</f>
        <v>5.2355</v>
      </c>
      <c r="H326" s="61">
        <f>7.9382* CHOOSE(CONTROL!$C$19, $C$13, 100%, $E$13)</f>
        <v>7.9382000000000001</v>
      </c>
      <c r="I326" s="61">
        <f>7.9384 * CHOOSE(CONTROL!$C$19, $C$13, 100%, $E$13)</f>
        <v>7.9383999999999997</v>
      </c>
      <c r="J326" s="61">
        <f>5.2354 * CHOOSE(CONTROL!$C$19, $C$13, 100%, $E$13)</f>
        <v>5.2354000000000003</v>
      </c>
      <c r="K326" s="61">
        <f>5.2355 * CHOOSE(CONTROL!$C$19, $C$13, 100%, $E$13)</f>
        <v>5.2355</v>
      </c>
    </row>
    <row r="327" spans="1:11" ht="15">
      <c r="A327" s="13">
        <v>51806</v>
      </c>
      <c r="B327" s="60">
        <f>4.7685 * CHOOSE(CONTROL!$C$19, $C$13, 100%, $E$13)</f>
        <v>4.7685000000000004</v>
      </c>
      <c r="C327" s="60">
        <f>4.7685 * CHOOSE(CONTROL!$C$19, $C$13, 100%, $E$13)</f>
        <v>4.7685000000000004</v>
      </c>
      <c r="D327" s="60">
        <f>4.7836 * CHOOSE(CONTROL!$C$19, $C$13, 100%, $E$13)</f>
        <v>4.7835999999999999</v>
      </c>
      <c r="E327" s="61">
        <f>5.2534 * CHOOSE(CONTROL!$C$19, $C$13, 100%, $E$13)</f>
        <v>5.2534000000000001</v>
      </c>
      <c r="F327" s="61">
        <f>5.2534 * CHOOSE(CONTROL!$C$19, $C$13, 100%, $E$13)</f>
        <v>5.2534000000000001</v>
      </c>
      <c r="G327" s="61">
        <f>5.2535 * CHOOSE(CONTROL!$C$19, $C$13, 100%, $E$13)</f>
        <v>5.2534999999999998</v>
      </c>
      <c r="H327" s="61">
        <f>7.9547* CHOOSE(CONTROL!$C$19, $C$13, 100%, $E$13)</f>
        <v>7.9546999999999999</v>
      </c>
      <c r="I327" s="61">
        <f>7.9549 * CHOOSE(CONTROL!$C$19, $C$13, 100%, $E$13)</f>
        <v>7.9549000000000003</v>
      </c>
      <c r="J327" s="61">
        <f>5.2534 * CHOOSE(CONTROL!$C$19, $C$13, 100%, $E$13)</f>
        <v>5.2534000000000001</v>
      </c>
      <c r="K327" s="61">
        <f>5.2535 * CHOOSE(CONTROL!$C$19, $C$13, 100%, $E$13)</f>
        <v>5.2534999999999998</v>
      </c>
    </row>
    <row r="328" spans="1:11" ht="15">
      <c r="A328" s="13">
        <v>51836</v>
      </c>
      <c r="B328" s="60">
        <f>4.7685 * CHOOSE(CONTROL!$C$19, $C$13, 100%, $E$13)</f>
        <v>4.7685000000000004</v>
      </c>
      <c r="C328" s="60">
        <f>4.7685 * CHOOSE(CONTROL!$C$19, $C$13, 100%, $E$13)</f>
        <v>4.7685000000000004</v>
      </c>
      <c r="D328" s="60">
        <f>4.7836 * CHOOSE(CONTROL!$C$19, $C$13, 100%, $E$13)</f>
        <v>4.7835999999999999</v>
      </c>
      <c r="E328" s="61">
        <f>5.2137 * CHOOSE(CONTROL!$C$19, $C$13, 100%, $E$13)</f>
        <v>5.2137000000000002</v>
      </c>
      <c r="F328" s="61">
        <f>5.2137 * CHOOSE(CONTROL!$C$19, $C$13, 100%, $E$13)</f>
        <v>5.2137000000000002</v>
      </c>
      <c r="G328" s="61">
        <f>5.2138 * CHOOSE(CONTROL!$C$19, $C$13, 100%, $E$13)</f>
        <v>5.2138</v>
      </c>
      <c r="H328" s="61">
        <f>7.9713* CHOOSE(CONTROL!$C$19, $C$13, 100%, $E$13)</f>
        <v>7.9713000000000003</v>
      </c>
      <c r="I328" s="61">
        <f>7.9715 * CHOOSE(CONTROL!$C$19, $C$13, 100%, $E$13)</f>
        <v>7.9714999999999998</v>
      </c>
      <c r="J328" s="61">
        <f>5.2137 * CHOOSE(CONTROL!$C$19, $C$13, 100%, $E$13)</f>
        <v>5.2137000000000002</v>
      </c>
      <c r="K328" s="61">
        <f>5.2138 * CHOOSE(CONTROL!$C$19, $C$13, 100%, $E$13)</f>
        <v>5.2138</v>
      </c>
    </row>
    <row r="329" spans="1:11" ht="15">
      <c r="A329" s="13">
        <v>51867</v>
      </c>
      <c r="B329" s="60">
        <f>4.8103 * CHOOSE(CONTROL!$C$19, $C$13, 100%, $E$13)</f>
        <v>4.8102999999999998</v>
      </c>
      <c r="C329" s="60">
        <f>4.8103 * CHOOSE(CONTROL!$C$19, $C$13, 100%, $E$13)</f>
        <v>4.8102999999999998</v>
      </c>
      <c r="D329" s="60">
        <f>4.8255 * CHOOSE(CONTROL!$C$19, $C$13, 100%, $E$13)</f>
        <v>4.8254999999999999</v>
      </c>
      <c r="E329" s="61">
        <f>5.2932 * CHOOSE(CONTROL!$C$19, $C$13, 100%, $E$13)</f>
        <v>5.2931999999999997</v>
      </c>
      <c r="F329" s="61">
        <f>5.2932 * CHOOSE(CONTROL!$C$19, $C$13, 100%, $E$13)</f>
        <v>5.2931999999999997</v>
      </c>
      <c r="G329" s="61">
        <f>5.2934 * CHOOSE(CONTROL!$C$19, $C$13, 100%, $E$13)</f>
        <v>5.2934000000000001</v>
      </c>
      <c r="H329" s="61">
        <f>7.9879* CHOOSE(CONTROL!$C$19, $C$13, 100%, $E$13)</f>
        <v>7.9878999999999998</v>
      </c>
      <c r="I329" s="61">
        <f>7.9881 * CHOOSE(CONTROL!$C$19, $C$13, 100%, $E$13)</f>
        <v>7.9881000000000002</v>
      </c>
      <c r="J329" s="61">
        <f>5.2932 * CHOOSE(CONTROL!$C$19, $C$13, 100%, $E$13)</f>
        <v>5.2931999999999997</v>
      </c>
      <c r="K329" s="61">
        <f>5.2934 * CHOOSE(CONTROL!$C$19, $C$13, 100%, $E$13)</f>
        <v>5.2934000000000001</v>
      </c>
    </row>
    <row r="330" spans="1:11" ht="15">
      <c r="A330" s="13">
        <v>51898</v>
      </c>
      <c r="B330" s="60">
        <f>4.8073 * CHOOSE(CONTROL!$C$19, $C$13, 100%, $E$13)</f>
        <v>4.8072999999999997</v>
      </c>
      <c r="C330" s="60">
        <f>4.8073 * CHOOSE(CONTROL!$C$19, $C$13, 100%, $E$13)</f>
        <v>4.8072999999999997</v>
      </c>
      <c r="D330" s="60">
        <f>4.8224 * CHOOSE(CONTROL!$C$19, $C$13, 100%, $E$13)</f>
        <v>4.8224</v>
      </c>
      <c r="E330" s="61">
        <f>5.2137 * CHOOSE(CONTROL!$C$19, $C$13, 100%, $E$13)</f>
        <v>5.2137000000000002</v>
      </c>
      <c r="F330" s="61">
        <f>5.2137 * CHOOSE(CONTROL!$C$19, $C$13, 100%, $E$13)</f>
        <v>5.2137000000000002</v>
      </c>
      <c r="G330" s="61">
        <f>5.2139 * CHOOSE(CONTROL!$C$19, $C$13, 100%, $E$13)</f>
        <v>5.2138999999999998</v>
      </c>
      <c r="H330" s="61">
        <f>8.0045* CHOOSE(CONTROL!$C$19, $C$13, 100%, $E$13)</f>
        <v>8.0045000000000002</v>
      </c>
      <c r="I330" s="61">
        <f>8.0047 * CHOOSE(CONTROL!$C$19, $C$13, 100%, $E$13)</f>
        <v>8.0046999999999997</v>
      </c>
      <c r="J330" s="61">
        <f>5.2137 * CHOOSE(CONTROL!$C$19, $C$13, 100%, $E$13)</f>
        <v>5.2137000000000002</v>
      </c>
      <c r="K330" s="61">
        <f>5.2139 * CHOOSE(CONTROL!$C$19, $C$13, 100%, $E$13)</f>
        <v>5.2138999999999998</v>
      </c>
    </row>
    <row r="331" spans="1:11" ht="15">
      <c r="A331" s="13">
        <v>51926</v>
      </c>
      <c r="B331" s="60">
        <f>4.8042 * CHOOSE(CONTROL!$C$19, $C$13, 100%, $E$13)</f>
        <v>4.8041999999999998</v>
      </c>
      <c r="C331" s="60">
        <f>4.8042 * CHOOSE(CONTROL!$C$19, $C$13, 100%, $E$13)</f>
        <v>4.8041999999999998</v>
      </c>
      <c r="D331" s="60">
        <f>4.8194 * CHOOSE(CONTROL!$C$19, $C$13, 100%, $E$13)</f>
        <v>4.8193999999999999</v>
      </c>
      <c r="E331" s="61">
        <f>5.2726 * CHOOSE(CONTROL!$C$19, $C$13, 100%, $E$13)</f>
        <v>5.2725999999999997</v>
      </c>
      <c r="F331" s="61">
        <f>5.2726 * CHOOSE(CONTROL!$C$19, $C$13, 100%, $E$13)</f>
        <v>5.2725999999999997</v>
      </c>
      <c r="G331" s="61">
        <f>5.2728 * CHOOSE(CONTROL!$C$19, $C$13, 100%, $E$13)</f>
        <v>5.2728000000000002</v>
      </c>
      <c r="H331" s="61">
        <f>8.0212* CHOOSE(CONTROL!$C$19, $C$13, 100%, $E$13)</f>
        <v>8.0212000000000003</v>
      </c>
      <c r="I331" s="61">
        <f>8.0214 * CHOOSE(CONTROL!$C$19, $C$13, 100%, $E$13)</f>
        <v>8.0213999999999999</v>
      </c>
      <c r="J331" s="61">
        <f>5.2726 * CHOOSE(CONTROL!$C$19, $C$13, 100%, $E$13)</f>
        <v>5.2725999999999997</v>
      </c>
      <c r="K331" s="61">
        <f>5.2728 * CHOOSE(CONTROL!$C$19, $C$13, 100%, $E$13)</f>
        <v>5.2728000000000002</v>
      </c>
    </row>
    <row r="332" spans="1:11" ht="15">
      <c r="A332" s="13">
        <v>51957</v>
      </c>
      <c r="B332" s="60">
        <f>4.8027 * CHOOSE(CONTROL!$C$19, $C$13, 100%, $E$13)</f>
        <v>4.8026999999999997</v>
      </c>
      <c r="C332" s="60">
        <f>4.8027 * CHOOSE(CONTROL!$C$19, $C$13, 100%, $E$13)</f>
        <v>4.8026999999999997</v>
      </c>
      <c r="D332" s="60">
        <f>4.8179 * CHOOSE(CONTROL!$C$19, $C$13, 100%, $E$13)</f>
        <v>4.8178999999999998</v>
      </c>
      <c r="E332" s="61">
        <f>5.3339 * CHOOSE(CONTROL!$C$19, $C$13, 100%, $E$13)</f>
        <v>5.3338999999999999</v>
      </c>
      <c r="F332" s="61">
        <f>5.3339 * CHOOSE(CONTROL!$C$19, $C$13, 100%, $E$13)</f>
        <v>5.3338999999999999</v>
      </c>
      <c r="G332" s="61">
        <f>5.3341 * CHOOSE(CONTROL!$C$19, $C$13, 100%, $E$13)</f>
        <v>5.3341000000000003</v>
      </c>
      <c r="H332" s="61">
        <f>8.0379* CHOOSE(CONTROL!$C$19, $C$13, 100%, $E$13)</f>
        <v>8.0379000000000005</v>
      </c>
      <c r="I332" s="61">
        <f>8.0381 * CHOOSE(CONTROL!$C$19, $C$13, 100%, $E$13)</f>
        <v>8.0381</v>
      </c>
      <c r="J332" s="61">
        <f>5.3339 * CHOOSE(CONTROL!$C$19, $C$13, 100%, $E$13)</f>
        <v>5.3338999999999999</v>
      </c>
      <c r="K332" s="61">
        <f>5.3341 * CHOOSE(CONTROL!$C$19, $C$13, 100%, $E$13)</f>
        <v>5.3341000000000003</v>
      </c>
    </row>
    <row r="333" spans="1:11" ht="15">
      <c r="A333" s="13">
        <v>51987</v>
      </c>
      <c r="B333" s="60">
        <f>4.8027 * CHOOSE(CONTROL!$C$19, $C$13, 100%, $E$13)</f>
        <v>4.8026999999999997</v>
      </c>
      <c r="C333" s="60">
        <f>4.8027 * CHOOSE(CONTROL!$C$19, $C$13, 100%, $E$13)</f>
        <v>4.8026999999999997</v>
      </c>
      <c r="D333" s="60">
        <f>4.8331 * CHOOSE(CONTROL!$C$19, $C$13, 100%, $E$13)</f>
        <v>4.8331</v>
      </c>
      <c r="E333" s="61">
        <f>5.3585 * CHOOSE(CONTROL!$C$19, $C$13, 100%, $E$13)</f>
        <v>5.3585000000000003</v>
      </c>
      <c r="F333" s="61">
        <f>5.3585 * CHOOSE(CONTROL!$C$19, $C$13, 100%, $E$13)</f>
        <v>5.3585000000000003</v>
      </c>
      <c r="G333" s="61">
        <f>5.3604 * CHOOSE(CONTROL!$C$19, $C$13, 100%, $E$13)</f>
        <v>5.3604000000000003</v>
      </c>
      <c r="H333" s="61">
        <f>8.0547* CHOOSE(CONTROL!$C$19, $C$13, 100%, $E$13)</f>
        <v>8.0547000000000004</v>
      </c>
      <c r="I333" s="61">
        <f>8.0566 * CHOOSE(CONTROL!$C$19, $C$13, 100%, $E$13)</f>
        <v>8.0565999999999995</v>
      </c>
      <c r="J333" s="61">
        <f>5.3585 * CHOOSE(CONTROL!$C$19, $C$13, 100%, $E$13)</f>
        <v>5.3585000000000003</v>
      </c>
      <c r="K333" s="61">
        <f>5.3604 * CHOOSE(CONTROL!$C$19, $C$13, 100%, $E$13)</f>
        <v>5.3604000000000003</v>
      </c>
    </row>
    <row r="334" spans="1:11" ht="15">
      <c r="A334" s="13">
        <v>52018</v>
      </c>
      <c r="B334" s="60">
        <f>4.8088 * CHOOSE(CONTROL!$C$19, $C$13, 100%, $E$13)</f>
        <v>4.8087999999999997</v>
      </c>
      <c r="C334" s="60">
        <f>4.8088 * CHOOSE(CONTROL!$C$19, $C$13, 100%, $E$13)</f>
        <v>4.8087999999999997</v>
      </c>
      <c r="D334" s="60">
        <f>4.8391 * CHOOSE(CONTROL!$C$19, $C$13, 100%, $E$13)</f>
        <v>4.8391000000000002</v>
      </c>
      <c r="E334" s="61">
        <f>5.3382 * CHOOSE(CONTROL!$C$19, $C$13, 100%, $E$13)</f>
        <v>5.3381999999999996</v>
      </c>
      <c r="F334" s="61">
        <f>5.3382 * CHOOSE(CONTROL!$C$19, $C$13, 100%, $E$13)</f>
        <v>5.3381999999999996</v>
      </c>
      <c r="G334" s="61">
        <f>5.3401 * CHOOSE(CONTROL!$C$19, $C$13, 100%, $E$13)</f>
        <v>5.3400999999999996</v>
      </c>
      <c r="H334" s="61">
        <f>8.0714* CHOOSE(CONTROL!$C$19, $C$13, 100%, $E$13)</f>
        <v>8.0714000000000006</v>
      </c>
      <c r="I334" s="61">
        <f>8.0733 * CHOOSE(CONTROL!$C$19, $C$13, 100%, $E$13)</f>
        <v>8.0732999999999997</v>
      </c>
      <c r="J334" s="61">
        <f>5.3382 * CHOOSE(CONTROL!$C$19, $C$13, 100%, $E$13)</f>
        <v>5.3381999999999996</v>
      </c>
      <c r="K334" s="61">
        <f>5.3401 * CHOOSE(CONTROL!$C$19, $C$13, 100%, $E$13)</f>
        <v>5.3400999999999996</v>
      </c>
    </row>
    <row r="335" spans="1:11" ht="15">
      <c r="A335" s="13">
        <v>52048</v>
      </c>
      <c r="B335" s="60">
        <f>4.885 * CHOOSE(CONTROL!$C$19, $C$13, 100%, $E$13)</f>
        <v>4.8849999999999998</v>
      </c>
      <c r="C335" s="60">
        <f>4.885 * CHOOSE(CONTROL!$C$19, $C$13, 100%, $E$13)</f>
        <v>4.8849999999999998</v>
      </c>
      <c r="D335" s="60">
        <f>4.9154 * CHOOSE(CONTROL!$C$19, $C$13, 100%, $E$13)</f>
        <v>4.9154</v>
      </c>
      <c r="E335" s="61">
        <f>5.4424 * CHOOSE(CONTROL!$C$19, $C$13, 100%, $E$13)</f>
        <v>5.4424000000000001</v>
      </c>
      <c r="F335" s="61">
        <f>5.4424 * CHOOSE(CONTROL!$C$19, $C$13, 100%, $E$13)</f>
        <v>5.4424000000000001</v>
      </c>
      <c r="G335" s="61">
        <f>5.4443 * CHOOSE(CONTROL!$C$19, $C$13, 100%, $E$13)</f>
        <v>5.4443000000000001</v>
      </c>
      <c r="H335" s="61">
        <f>8.0883* CHOOSE(CONTROL!$C$19, $C$13, 100%, $E$13)</f>
        <v>8.0883000000000003</v>
      </c>
      <c r="I335" s="61">
        <f>8.0902 * CHOOSE(CONTROL!$C$19, $C$13, 100%, $E$13)</f>
        <v>8.0901999999999994</v>
      </c>
      <c r="J335" s="61">
        <f>5.4424 * CHOOSE(CONTROL!$C$19, $C$13, 100%, $E$13)</f>
        <v>5.4424000000000001</v>
      </c>
      <c r="K335" s="61">
        <f>5.4443 * CHOOSE(CONTROL!$C$19, $C$13, 100%, $E$13)</f>
        <v>5.4443000000000001</v>
      </c>
    </row>
    <row r="336" spans="1:11" ht="15">
      <c r="A336" s="13">
        <v>52079</v>
      </c>
      <c r="B336" s="60">
        <f>4.8917 * CHOOSE(CONTROL!$C$19, $C$13, 100%, $E$13)</f>
        <v>4.8917000000000002</v>
      </c>
      <c r="C336" s="60">
        <f>4.8917 * CHOOSE(CONTROL!$C$19, $C$13, 100%, $E$13)</f>
        <v>4.8917000000000002</v>
      </c>
      <c r="D336" s="60">
        <f>4.922 * CHOOSE(CONTROL!$C$19, $C$13, 100%, $E$13)</f>
        <v>4.9219999999999997</v>
      </c>
      <c r="E336" s="61">
        <f>5.3733 * CHOOSE(CONTROL!$C$19, $C$13, 100%, $E$13)</f>
        <v>5.3733000000000004</v>
      </c>
      <c r="F336" s="61">
        <f>5.3733 * CHOOSE(CONTROL!$C$19, $C$13, 100%, $E$13)</f>
        <v>5.3733000000000004</v>
      </c>
      <c r="G336" s="61">
        <f>5.3752 * CHOOSE(CONTROL!$C$19, $C$13, 100%, $E$13)</f>
        <v>5.3752000000000004</v>
      </c>
      <c r="H336" s="61">
        <f>8.1051* CHOOSE(CONTROL!$C$19, $C$13, 100%, $E$13)</f>
        <v>8.1051000000000002</v>
      </c>
      <c r="I336" s="61">
        <f>8.107 * CHOOSE(CONTROL!$C$19, $C$13, 100%, $E$13)</f>
        <v>8.1069999999999993</v>
      </c>
      <c r="J336" s="61">
        <f>5.3733 * CHOOSE(CONTROL!$C$19, $C$13, 100%, $E$13)</f>
        <v>5.3733000000000004</v>
      </c>
      <c r="K336" s="61">
        <f>5.3752 * CHOOSE(CONTROL!$C$19, $C$13, 100%, $E$13)</f>
        <v>5.3752000000000004</v>
      </c>
    </row>
    <row r="337" spans="1:11" ht="15">
      <c r="A337" s="13">
        <v>52110</v>
      </c>
      <c r="B337" s="60">
        <f>4.8886 * CHOOSE(CONTROL!$C$19, $C$13, 100%, $E$13)</f>
        <v>4.8886000000000003</v>
      </c>
      <c r="C337" s="60">
        <f>4.8886 * CHOOSE(CONTROL!$C$19, $C$13, 100%, $E$13)</f>
        <v>4.8886000000000003</v>
      </c>
      <c r="D337" s="60">
        <f>4.919 * CHOOSE(CONTROL!$C$19, $C$13, 100%, $E$13)</f>
        <v>4.9189999999999996</v>
      </c>
      <c r="E337" s="61">
        <f>5.363 * CHOOSE(CONTROL!$C$19, $C$13, 100%, $E$13)</f>
        <v>5.3630000000000004</v>
      </c>
      <c r="F337" s="61">
        <f>5.363 * CHOOSE(CONTROL!$C$19, $C$13, 100%, $E$13)</f>
        <v>5.3630000000000004</v>
      </c>
      <c r="G337" s="61">
        <f>5.3649 * CHOOSE(CONTROL!$C$19, $C$13, 100%, $E$13)</f>
        <v>5.3648999999999996</v>
      </c>
      <c r="H337" s="61">
        <f>8.122* CHOOSE(CONTROL!$C$19, $C$13, 100%, $E$13)</f>
        <v>8.1219999999999999</v>
      </c>
      <c r="I337" s="61">
        <f>8.1239 * CHOOSE(CONTROL!$C$19, $C$13, 100%, $E$13)</f>
        <v>8.1239000000000008</v>
      </c>
      <c r="J337" s="61">
        <f>5.363 * CHOOSE(CONTROL!$C$19, $C$13, 100%, $E$13)</f>
        <v>5.3630000000000004</v>
      </c>
      <c r="K337" s="61">
        <f>5.3649 * CHOOSE(CONTROL!$C$19, $C$13, 100%, $E$13)</f>
        <v>5.3648999999999996</v>
      </c>
    </row>
    <row r="338" spans="1:11" ht="15">
      <c r="A338" s="13">
        <v>52140</v>
      </c>
      <c r="B338" s="60">
        <f>4.8872 * CHOOSE(CONTROL!$C$19, $C$13, 100%, $E$13)</f>
        <v>4.8872</v>
      </c>
      <c r="C338" s="60">
        <f>4.8872 * CHOOSE(CONTROL!$C$19, $C$13, 100%, $E$13)</f>
        <v>4.8872</v>
      </c>
      <c r="D338" s="60">
        <f>4.9024 * CHOOSE(CONTROL!$C$19, $C$13, 100%, $E$13)</f>
        <v>4.9024000000000001</v>
      </c>
      <c r="E338" s="61">
        <f>5.3823 * CHOOSE(CONTROL!$C$19, $C$13, 100%, $E$13)</f>
        <v>5.3822999999999999</v>
      </c>
      <c r="F338" s="61">
        <f>5.3823 * CHOOSE(CONTROL!$C$19, $C$13, 100%, $E$13)</f>
        <v>5.3822999999999999</v>
      </c>
      <c r="G338" s="61">
        <f>5.3825 * CHOOSE(CONTROL!$C$19, $C$13, 100%, $E$13)</f>
        <v>5.3825000000000003</v>
      </c>
      <c r="H338" s="61">
        <f>8.1389* CHOOSE(CONTROL!$C$19, $C$13, 100%, $E$13)</f>
        <v>8.1388999999999996</v>
      </c>
      <c r="I338" s="61">
        <f>8.1391 * CHOOSE(CONTROL!$C$19, $C$13, 100%, $E$13)</f>
        <v>8.1390999999999991</v>
      </c>
      <c r="J338" s="61">
        <f>5.3823 * CHOOSE(CONTROL!$C$19, $C$13, 100%, $E$13)</f>
        <v>5.3822999999999999</v>
      </c>
      <c r="K338" s="61">
        <f>5.3825 * CHOOSE(CONTROL!$C$19, $C$13, 100%, $E$13)</f>
        <v>5.3825000000000003</v>
      </c>
    </row>
    <row r="339" spans="1:11" ht="15">
      <c r="A339" s="13">
        <v>52171</v>
      </c>
      <c r="B339" s="60">
        <f>4.8902 * CHOOSE(CONTROL!$C$19, $C$13, 100%, $E$13)</f>
        <v>4.8902000000000001</v>
      </c>
      <c r="C339" s="60">
        <f>4.8902 * CHOOSE(CONTROL!$C$19, $C$13, 100%, $E$13)</f>
        <v>4.8902000000000001</v>
      </c>
      <c r="D339" s="60">
        <f>4.9054 * CHOOSE(CONTROL!$C$19, $C$13, 100%, $E$13)</f>
        <v>4.9054000000000002</v>
      </c>
      <c r="E339" s="61">
        <f>5.4009 * CHOOSE(CONTROL!$C$19, $C$13, 100%, $E$13)</f>
        <v>5.4009</v>
      </c>
      <c r="F339" s="61">
        <f>5.4009 * CHOOSE(CONTROL!$C$19, $C$13, 100%, $E$13)</f>
        <v>5.4009</v>
      </c>
      <c r="G339" s="61">
        <f>5.401 * CHOOSE(CONTROL!$C$19, $C$13, 100%, $E$13)</f>
        <v>5.4009999999999998</v>
      </c>
      <c r="H339" s="61">
        <f>8.1559* CHOOSE(CONTROL!$C$19, $C$13, 100%, $E$13)</f>
        <v>8.1559000000000008</v>
      </c>
      <c r="I339" s="61">
        <f>8.1561 * CHOOSE(CONTROL!$C$19, $C$13, 100%, $E$13)</f>
        <v>8.1561000000000003</v>
      </c>
      <c r="J339" s="61">
        <f>5.4009 * CHOOSE(CONTROL!$C$19, $C$13, 100%, $E$13)</f>
        <v>5.4009</v>
      </c>
      <c r="K339" s="61">
        <f>5.401 * CHOOSE(CONTROL!$C$19, $C$13, 100%, $E$13)</f>
        <v>5.4009999999999998</v>
      </c>
    </row>
    <row r="340" spans="1:11" ht="15">
      <c r="A340" s="13">
        <v>52201</v>
      </c>
      <c r="B340" s="60">
        <f>4.8902 * CHOOSE(CONTROL!$C$19, $C$13, 100%, $E$13)</f>
        <v>4.8902000000000001</v>
      </c>
      <c r="C340" s="60">
        <f>4.8902 * CHOOSE(CONTROL!$C$19, $C$13, 100%, $E$13)</f>
        <v>4.8902000000000001</v>
      </c>
      <c r="D340" s="60">
        <f>4.9054 * CHOOSE(CONTROL!$C$19, $C$13, 100%, $E$13)</f>
        <v>4.9054000000000002</v>
      </c>
      <c r="E340" s="61">
        <f>5.3599 * CHOOSE(CONTROL!$C$19, $C$13, 100%, $E$13)</f>
        <v>5.3598999999999997</v>
      </c>
      <c r="F340" s="61">
        <f>5.3599 * CHOOSE(CONTROL!$C$19, $C$13, 100%, $E$13)</f>
        <v>5.3598999999999997</v>
      </c>
      <c r="G340" s="61">
        <f>5.3601 * CHOOSE(CONTROL!$C$19, $C$13, 100%, $E$13)</f>
        <v>5.3601000000000001</v>
      </c>
      <c r="H340" s="61">
        <f>8.1729* CHOOSE(CONTROL!$C$19, $C$13, 100%, $E$13)</f>
        <v>8.1729000000000003</v>
      </c>
      <c r="I340" s="61">
        <f>8.173 * CHOOSE(CONTROL!$C$19, $C$13, 100%, $E$13)</f>
        <v>8.173</v>
      </c>
      <c r="J340" s="61">
        <f>5.3599 * CHOOSE(CONTROL!$C$19, $C$13, 100%, $E$13)</f>
        <v>5.3598999999999997</v>
      </c>
      <c r="K340" s="61">
        <f>5.3601 * CHOOSE(CONTROL!$C$19, $C$13, 100%, $E$13)</f>
        <v>5.3601000000000001</v>
      </c>
    </row>
    <row r="341" spans="1:11" ht="15">
      <c r="A341" s="13">
        <v>52232</v>
      </c>
      <c r="B341" s="60">
        <f>4.9327 * CHOOSE(CONTROL!$C$19, $C$13, 100%, $E$13)</f>
        <v>4.9326999999999996</v>
      </c>
      <c r="C341" s="60">
        <f>4.9327 * CHOOSE(CONTROL!$C$19, $C$13, 100%, $E$13)</f>
        <v>4.9326999999999996</v>
      </c>
      <c r="D341" s="60">
        <f>4.9479 * CHOOSE(CONTROL!$C$19, $C$13, 100%, $E$13)</f>
        <v>4.9478999999999997</v>
      </c>
      <c r="E341" s="61">
        <f>5.4417 * CHOOSE(CONTROL!$C$19, $C$13, 100%, $E$13)</f>
        <v>5.4417</v>
      </c>
      <c r="F341" s="61">
        <f>5.4417 * CHOOSE(CONTROL!$C$19, $C$13, 100%, $E$13)</f>
        <v>5.4417</v>
      </c>
      <c r="G341" s="61">
        <f>5.4419 * CHOOSE(CONTROL!$C$19, $C$13, 100%, $E$13)</f>
        <v>5.4419000000000004</v>
      </c>
      <c r="H341" s="61">
        <f>8.1899* CHOOSE(CONTROL!$C$19, $C$13, 100%, $E$13)</f>
        <v>8.1898999999999997</v>
      </c>
      <c r="I341" s="61">
        <f>8.1901 * CHOOSE(CONTROL!$C$19, $C$13, 100%, $E$13)</f>
        <v>8.1900999999999993</v>
      </c>
      <c r="J341" s="61">
        <f>5.4417 * CHOOSE(CONTROL!$C$19, $C$13, 100%, $E$13)</f>
        <v>5.4417</v>
      </c>
      <c r="K341" s="61">
        <f>5.4419 * CHOOSE(CONTROL!$C$19, $C$13, 100%, $E$13)</f>
        <v>5.4419000000000004</v>
      </c>
    </row>
    <row r="342" spans="1:11" ht="15">
      <c r="A342" s="13">
        <v>52263</v>
      </c>
      <c r="B342" s="60">
        <f>4.9296 * CHOOSE(CONTROL!$C$19, $C$13, 100%, $E$13)</f>
        <v>4.9295999999999998</v>
      </c>
      <c r="C342" s="60">
        <f>4.9296 * CHOOSE(CONTROL!$C$19, $C$13, 100%, $E$13)</f>
        <v>4.9295999999999998</v>
      </c>
      <c r="D342" s="60">
        <f>4.9448 * CHOOSE(CONTROL!$C$19, $C$13, 100%, $E$13)</f>
        <v>4.9447999999999999</v>
      </c>
      <c r="E342" s="61">
        <f>5.3597 * CHOOSE(CONTROL!$C$19, $C$13, 100%, $E$13)</f>
        <v>5.3597000000000001</v>
      </c>
      <c r="F342" s="61">
        <f>5.3597 * CHOOSE(CONTROL!$C$19, $C$13, 100%, $E$13)</f>
        <v>5.3597000000000001</v>
      </c>
      <c r="G342" s="61">
        <f>5.3599 * CHOOSE(CONTROL!$C$19, $C$13, 100%, $E$13)</f>
        <v>5.3598999999999997</v>
      </c>
      <c r="H342" s="61">
        <f>8.207* CHOOSE(CONTROL!$C$19, $C$13, 100%, $E$13)</f>
        <v>8.2070000000000007</v>
      </c>
      <c r="I342" s="61">
        <f>8.2071 * CHOOSE(CONTROL!$C$19, $C$13, 100%, $E$13)</f>
        <v>8.2071000000000005</v>
      </c>
      <c r="J342" s="61">
        <f>5.3597 * CHOOSE(CONTROL!$C$19, $C$13, 100%, $E$13)</f>
        <v>5.3597000000000001</v>
      </c>
      <c r="K342" s="61">
        <f>5.3599 * CHOOSE(CONTROL!$C$19, $C$13, 100%, $E$13)</f>
        <v>5.3598999999999997</v>
      </c>
    </row>
    <row r="343" spans="1:11" ht="15">
      <c r="A343" s="13">
        <v>52291</v>
      </c>
      <c r="B343" s="60">
        <f>4.9266 * CHOOSE(CONTROL!$C$19, $C$13, 100%, $E$13)</f>
        <v>4.9265999999999996</v>
      </c>
      <c r="C343" s="60">
        <f>4.9266 * CHOOSE(CONTROL!$C$19, $C$13, 100%, $E$13)</f>
        <v>4.9265999999999996</v>
      </c>
      <c r="D343" s="60">
        <f>4.9418 * CHOOSE(CONTROL!$C$19, $C$13, 100%, $E$13)</f>
        <v>4.9417999999999997</v>
      </c>
      <c r="E343" s="61">
        <f>5.4206 * CHOOSE(CONTROL!$C$19, $C$13, 100%, $E$13)</f>
        <v>5.4206000000000003</v>
      </c>
      <c r="F343" s="61">
        <f>5.4206 * CHOOSE(CONTROL!$C$19, $C$13, 100%, $E$13)</f>
        <v>5.4206000000000003</v>
      </c>
      <c r="G343" s="61">
        <f>5.4208 * CHOOSE(CONTROL!$C$19, $C$13, 100%, $E$13)</f>
        <v>5.4207999999999998</v>
      </c>
      <c r="H343" s="61">
        <f>8.2241* CHOOSE(CONTROL!$C$19, $C$13, 100%, $E$13)</f>
        <v>8.2241</v>
      </c>
      <c r="I343" s="61">
        <f>8.2242 * CHOOSE(CONTROL!$C$19, $C$13, 100%, $E$13)</f>
        <v>8.2241999999999997</v>
      </c>
      <c r="J343" s="61">
        <f>5.4206 * CHOOSE(CONTROL!$C$19, $C$13, 100%, $E$13)</f>
        <v>5.4206000000000003</v>
      </c>
      <c r="K343" s="61">
        <f>5.4208 * CHOOSE(CONTROL!$C$19, $C$13, 100%, $E$13)</f>
        <v>5.4207999999999998</v>
      </c>
    </row>
    <row r="344" spans="1:11" ht="15">
      <c r="A344" s="13">
        <v>52322</v>
      </c>
      <c r="B344" s="60">
        <f>4.9252 * CHOOSE(CONTROL!$C$19, $C$13, 100%, $E$13)</f>
        <v>4.9252000000000002</v>
      </c>
      <c r="C344" s="60">
        <f>4.9252 * CHOOSE(CONTROL!$C$19, $C$13, 100%, $E$13)</f>
        <v>4.9252000000000002</v>
      </c>
      <c r="D344" s="60">
        <f>4.9404 * CHOOSE(CONTROL!$C$19, $C$13, 100%, $E$13)</f>
        <v>4.9404000000000003</v>
      </c>
      <c r="E344" s="61">
        <f>5.484 * CHOOSE(CONTROL!$C$19, $C$13, 100%, $E$13)</f>
        <v>5.484</v>
      </c>
      <c r="F344" s="61">
        <f>5.484 * CHOOSE(CONTROL!$C$19, $C$13, 100%, $E$13)</f>
        <v>5.484</v>
      </c>
      <c r="G344" s="61">
        <f>5.4842 * CHOOSE(CONTROL!$C$19, $C$13, 100%, $E$13)</f>
        <v>5.4842000000000004</v>
      </c>
      <c r="H344" s="61">
        <f>8.2412* CHOOSE(CONTROL!$C$19, $C$13, 100%, $E$13)</f>
        <v>8.2411999999999992</v>
      </c>
      <c r="I344" s="61">
        <f>8.2414 * CHOOSE(CONTROL!$C$19, $C$13, 100%, $E$13)</f>
        <v>8.2414000000000005</v>
      </c>
      <c r="J344" s="61">
        <f>5.484 * CHOOSE(CONTROL!$C$19, $C$13, 100%, $E$13)</f>
        <v>5.484</v>
      </c>
      <c r="K344" s="61">
        <f>5.4842 * CHOOSE(CONTROL!$C$19, $C$13, 100%, $E$13)</f>
        <v>5.4842000000000004</v>
      </c>
    </row>
    <row r="345" spans="1:11" ht="15">
      <c r="A345" s="13">
        <v>52352</v>
      </c>
      <c r="B345" s="60">
        <f>4.9252 * CHOOSE(CONTROL!$C$19, $C$13, 100%, $E$13)</f>
        <v>4.9252000000000002</v>
      </c>
      <c r="C345" s="60">
        <f>4.9252 * CHOOSE(CONTROL!$C$19, $C$13, 100%, $E$13)</f>
        <v>4.9252000000000002</v>
      </c>
      <c r="D345" s="60">
        <f>4.9556 * CHOOSE(CONTROL!$C$19, $C$13, 100%, $E$13)</f>
        <v>4.9555999999999996</v>
      </c>
      <c r="E345" s="61">
        <f>5.5094 * CHOOSE(CONTROL!$C$19, $C$13, 100%, $E$13)</f>
        <v>5.5094000000000003</v>
      </c>
      <c r="F345" s="61">
        <f>5.5094 * CHOOSE(CONTROL!$C$19, $C$13, 100%, $E$13)</f>
        <v>5.5094000000000003</v>
      </c>
      <c r="G345" s="61">
        <f>5.5113 * CHOOSE(CONTROL!$C$19, $C$13, 100%, $E$13)</f>
        <v>5.5113000000000003</v>
      </c>
      <c r="H345" s="61">
        <f>8.2584* CHOOSE(CONTROL!$C$19, $C$13, 100%, $E$13)</f>
        <v>8.2584</v>
      </c>
      <c r="I345" s="61">
        <f>8.2603 * CHOOSE(CONTROL!$C$19, $C$13, 100%, $E$13)</f>
        <v>8.2603000000000009</v>
      </c>
      <c r="J345" s="61">
        <f>5.5094 * CHOOSE(CONTROL!$C$19, $C$13, 100%, $E$13)</f>
        <v>5.5094000000000003</v>
      </c>
      <c r="K345" s="61">
        <f>5.5113 * CHOOSE(CONTROL!$C$19, $C$13, 100%, $E$13)</f>
        <v>5.5113000000000003</v>
      </c>
    </row>
    <row r="346" spans="1:11" ht="15">
      <c r="A346" s="13">
        <v>52383</v>
      </c>
      <c r="B346" s="60">
        <f>4.9313 * CHOOSE(CONTROL!$C$19, $C$13, 100%, $E$13)</f>
        <v>4.9313000000000002</v>
      </c>
      <c r="C346" s="60">
        <f>4.9313 * CHOOSE(CONTROL!$C$19, $C$13, 100%, $E$13)</f>
        <v>4.9313000000000002</v>
      </c>
      <c r="D346" s="60">
        <f>4.9616 * CHOOSE(CONTROL!$C$19, $C$13, 100%, $E$13)</f>
        <v>4.9615999999999998</v>
      </c>
      <c r="E346" s="61">
        <f>5.4882 * CHOOSE(CONTROL!$C$19, $C$13, 100%, $E$13)</f>
        <v>5.4882</v>
      </c>
      <c r="F346" s="61">
        <f>5.4882 * CHOOSE(CONTROL!$C$19, $C$13, 100%, $E$13)</f>
        <v>5.4882</v>
      </c>
      <c r="G346" s="61">
        <f>5.4901 * CHOOSE(CONTROL!$C$19, $C$13, 100%, $E$13)</f>
        <v>5.4901</v>
      </c>
      <c r="H346" s="61">
        <f>8.2756* CHOOSE(CONTROL!$C$19, $C$13, 100%, $E$13)</f>
        <v>8.2756000000000007</v>
      </c>
      <c r="I346" s="61">
        <f>8.2775 * CHOOSE(CONTROL!$C$19, $C$13, 100%, $E$13)</f>
        <v>8.2774999999999999</v>
      </c>
      <c r="J346" s="61">
        <f>5.4882 * CHOOSE(CONTROL!$C$19, $C$13, 100%, $E$13)</f>
        <v>5.4882</v>
      </c>
      <c r="K346" s="61">
        <f>5.4901 * CHOOSE(CONTROL!$C$19, $C$13, 100%, $E$13)</f>
        <v>5.4901</v>
      </c>
    </row>
    <row r="347" spans="1:11" ht="15">
      <c r="A347" s="13">
        <v>52413</v>
      </c>
      <c r="B347" s="60">
        <f>5.0083 * CHOOSE(CONTROL!$C$19, $C$13, 100%, $E$13)</f>
        <v>5.0083000000000002</v>
      </c>
      <c r="C347" s="60">
        <f>5.0083 * CHOOSE(CONTROL!$C$19, $C$13, 100%, $E$13)</f>
        <v>5.0083000000000002</v>
      </c>
      <c r="D347" s="60">
        <f>5.0387 * CHOOSE(CONTROL!$C$19, $C$13, 100%, $E$13)</f>
        <v>5.0387000000000004</v>
      </c>
      <c r="E347" s="61">
        <f>5.5951 * CHOOSE(CONTROL!$C$19, $C$13, 100%, $E$13)</f>
        <v>5.5951000000000004</v>
      </c>
      <c r="F347" s="61">
        <f>5.5951 * CHOOSE(CONTROL!$C$19, $C$13, 100%, $E$13)</f>
        <v>5.5951000000000004</v>
      </c>
      <c r="G347" s="61">
        <f>5.597 * CHOOSE(CONTROL!$C$19, $C$13, 100%, $E$13)</f>
        <v>5.5970000000000004</v>
      </c>
      <c r="H347" s="61">
        <f>8.2928* CHOOSE(CONTROL!$C$19, $C$13, 100%, $E$13)</f>
        <v>8.2927999999999997</v>
      </c>
      <c r="I347" s="61">
        <f>8.2947 * CHOOSE(CONTROL!$C$19, $C$13, 100%, $E$13)</f>
        <v>8.2947000000000006</v>
      </c>
      <c r="J347" s="61">
        <f>5.5951 * CHOOSE(CONTROL!$C$19, $C$13, 100%, $E$13)</f>
        <v>5.5951000000000004</v>
      </c>
      <c r="K347" s="61">
        <f>5.597 * CHOOSE(CONTROL!$C$19, $C$13, 100%, $E$13)</f>
        <v>5.5970000000000004</v>
      </c>
    </row>
    <row r="348" spans="1:11" ht="15">
      <c r="A348" s="13">
        <v>52444</v>
      </c>
      <c r="B348" s="60">
        <f>5.015 * CHOOSE(CONTROL!$C$19, $C$13, 100%, $E$13)</f>
        <v>5.0149999999999997</v>
      </c>
      <c r="C348" s="60">
        <f>5.015 * CHOOSE(CONTROL!$C$19, $C$13, 100%, $E$13)</f>
        <v>5.0149999999999997</v>
      </c>
      <c r="D348" s="60">
        <f>5.0454 * CHOOSE(CONTROL!$C$19, $C$13, 100%, $E$13)</f>
        <v>5.0453999999999999</v>
      </c>
      <c r="E348" s="61">
        <f>5.5237 * CHOOSE(CONTROL!$C$19, $C$13, 100%, $E$13)</f>
        <v>5.5236999999999998</v>
      </c>
      <c r="F348" s="61">
        <f>5.5237 * CHOOSE(CONTROL!$C$19, $C$13, 100%, $E$13)</f>
        <v>5.5236999999999998</v>
      </c>
      <c r="G348" s="61">
        <f>5.5256 * CHOOSE(CONTROL!$C$19, $C$13, 100%, $E$13)</f>
        <v>5.5255999999999998</v>
      </c>
      <c r="H348" s="61">
        <f>8.3101* CHOOSE(CONTROL!$C$19, $C$13, 100%, $E$13)</f>
        <v>8.3101000000000003</v>
      </c>
      <c r="I348" s="61">
        <f>8.312 * CHOOSE(CONTROL!$C$19, $C$13, 100%, $E$13)</f>
        <v>8.3119999999999994</v>
      </c>
      <c r="J348" s="61">
        <f>5.5237 * CHOOSE(CONTROL!$C$19, $C$13, 100%, $E$13)</f>
        <v>5.5236999999999998</v>
      </c>
      <c r="K348" s="61">
        <f>5.5256 * CHOOSE(CONTROL!$C$19, $C$13, 100%, $E$13)</f>
        <v>5.5255999999999998</v>
      </c>
    </row>
    <row r="349" spans="1:11" ht="15">
      <c r="A349" s="13">
        <v>52475</v>
      </c>
      <c r="B349" s="60">
        <f>5.012 * CHOOSE(CONTROL!$C$19, $C$13, 100%, $E$13)</f>
        <v>5.0119999999999996</v>
      </c>
      <c r="C349" s="60">
        <f>5.012 * CHOOSE(CONTROL!$C$19, $C$13, 100%, $E$13)</f>
        <v>5.0119999999999996</v>
      </c>
      <c r="D349" s="60">
        <f>5.0423 * CHOOSE(CONTROL!$C$19, $C$13, 100%, $E$13)</f>
        <v>5.0423</v>
      </c>
      <c r="E349" s="61">
        <f>5.5131 * CHOOSE(CONTROL!$C$19, $C$13, 100%, $E$13)</f>
        <v>5.5130999999999997</v>
      </c>
      <c r="F349" s="61">
        <f>5.5131 * CHOOSE(CONTROL!$C$19, $C$13, 100%, $E$13)</f>
        <v>5.5130999999999997</v>
      </c>
      <c r="G349" s="61">
        <f>5.515 * CHOOSE(CONTROL!$C$19, $C$13, 100%, $E$13)</f>
        <v>5.5149999999999997</v>
      </c>
      <c r="H349" s="61">
        <f>8.3274* CHOOSE(CONTROL!$C$19, $C$13, 100%, $E$13)</f>
        <v>8.3274000000000008</v>
      </c>
      <c r="I349" s="61">
        <f>8.3293 * CHOOSE(CONTROL!$C$19, $C$13, 100%, $E$13)</f>
        <v>8.3292999999999999</v>
      </c>
      <c r="J349" s="61">
        <f>5.5131 * CHOOSE(CONTROL!$C$19, $C$13, 100%, $E$13)</f>
        <v>5.5130999999999997</v>
      </c>
      <c r="K349" s="61">
        <f>5.515 * CHOOSE(CONTROL!$C$19, $C$13, 100%, $E$13)</f>
        <v>5.5149999999999997</v>
      </c>
    </row>
    <row r="350" spans="1:11" ht="15">
      <c r="A350" s="13">
        <v>52505</v>
      </c>
      <c r="B350" s="60">
        <f>5.011 * CHOOSE(CONTROL!$C$19, $C$13, 100%, $E$13)</f>
        <v>5.0110000000000001</v>
      </c>
      <c r="C350" s="60">
        <f>5.011 * CHOOSE(CONTROL!$C$19, $C$13, 100%, $E$13)</f>
        <v>5.0110000000000001</v>
      </c>
      <c r="D350" s="60">
        <f>5.0262 * CHOOSE(CONTROL!$C$19, $C$13, 100%, $E$13)</f>
        <v>5.0262000000000002</v>
      </c>
      <c r="E350" s="61">
        <f>5.5335 * CHOOSE(CONTROL!$C$19, $C$13, 100%, $E$13)</f>
        <v>5.5335000000000001</v>
      </c>
      <c r="F350" s="61">
        <f>5.5335 * CHOOSE(CONTROL!$C$19, $C$13, 100%, $E$13)</f>
        <v>5.5335000000000001</v>
      </c>
      <c r="G350" s="61">
        <f>5.5337 * CHOOSE(CONTROL!$C$19, $C$13, 100%, $E$13)</f>
        <v>5.5336999999999996</v>
      </c>
      <c r="H350" s="61">
        <f>8.3447* CHOOSE(CONTROL!$C$19, $C$13, 100%, $E$13)</f>
        <v>8.3446999999999996</v>
      </c>
      <c r="I350" s="61">
        <f>8.3449 * CHOOSE(CONTROL!$C$19, $C$13, 100%, $E$13)</f>
        <v>8.3449000000000009</v>
      </c>
      <c r="J350" s="61">
        <f>5.5335 * CHOOSE(CONTROL!$C$19, $C$13, 100%, $E$13)</f>
        <v>5.5335000000000001</v>
      </c>
      <c r="K350" s="61">
        <f>5.5337 * CHOOSE(CONTROL!$C$19, $C$13, 100%, $E$13)</f>
        <v>5.5336999999999996</v>
      </c>
    </row>
    <row r="351" spans="1:11" ht="15">
      <c r="A351" s="13">
        <v>52536</v>
      </c>
      <c r="B351" s="60">
        <f>5.014 * CHOOSE(CONTROL!$C$19, $C$13, 100%, $E$13)</f>
        <v>5.0140000000000002</v>
      </c>
      <c r="C351" s="60">
        <f>5.014 * CHOOSE(CONTROL!$C$19, $C$13, 100%, $E$13)</f>
        <v>5.0140000000000002</v>
      </c>
      <c r="D351" s="60">
        <f>5.0292 * CHOOSE(CONTROL!$C$19, $C$13, 100%, $E$13)</f>
        <v>5.0292000000000003</v>
      </c>
      <c r="E351" s="61">
        <f>5.5525 * CHOOSE(CONTROL!$C$19, $C$13, 100%, $E$13)</f>
        <v>5.5525000000000002</v>
      </c>
      <c r="F351" s="61">
        <f>5.5525 * CHOOSE(CONTROL!$C$19, $C$13, 100%, $E$13)</f>
        <v>5.5525000000000002</v>
      </c>
      <c r="G351" s="61">
        <f>5.5527 * CHOOSE(CONTROL!$C$19, $C$13, 100%, $E$13)</f>
        <v>5.5526999999999997</v>
      </c>
      <c r="H351" s="61">
        <f>8.3621* CHOOSE(CONTROL!$C$19, $C$13, 100%, $E$13)</f>
        <v>8.3620999999999999</v>
      </c>
      <c r="I351" s="61">
        <f>8.3623 * CHOOSE(CONTROL!$C$19, $C$13, 100%, $E$13)</f>
        <v>8.3622999999999994</v>
      </c>
      <c r="J351" s="61">
        <f>5.5525 * CHOOSE(CONTROL!$C$19, $C$13, 100%, $E$13)</f>
        <v>5.5525000000000002</v>
      </c>
      <c r="K351" s="61">
        <f>5.5527 * CHOOSE(CONTROL!$C$19, $C$13, 100%, $E$13)</f>
        <v>5.5526999999999997</v>
      </c>
    </row>
    <row r="352" spans="1:11" ht="15">
      <c r="A352" s="13">
        <v>52566</v>
      </c>
      <c r="B352" s="60">
        <f>5.014 * CHOOSE(CONTROL!$C$19, $C$13, 100%, $E$13)</f>
        <v>5.0140000000000002</v>
      </c>
      <c r="C352" s="60">
        <f>5.014 * CHOOSE(CONTROL!$C$19, $C$13, 100%, $E$13)</f>
        <v>5.0140000000000002</v>
      </c>
      <c r="D352" s="60">
        <f>5.0292 * CHOOSE(CONTROL!$C$19, $C$13, 100%, $E$13)</f>
        <v>5.0292000000000003</v>
      </c>
      <c r="E352" s="61">
        <f>5.5103 * CHOOSE(CONTROL!$C$19, $C$13, 100%, $E$13)</f>
        <v>5.5103</v>
      </c>
      <c r="F352" s="61">
        <f>5.5103 * CHOOSE(CONTROL!$C$19, $C$13, 100%, $E$13)</f>
        <v>5.5103</v>
      </c>
      <c r="G352" s="61">
        <f>5.5105 * CHOOSE(CONTROL!$C$19, $C$13, 100%, $E$13)</f>
        <v>5.5105000000000004</v>
      </c>
      <c r="H352" s="61">
        <f>8.3795* CHOOSE(CONTROL!$C$19, $C$13, 100%, $E$13)</f>
        <v>8.3795000000000002</v>
      </c>
      <c r="I352" s="61">
        <f>8.3797 * CHOOSE(CONTROL!$C$19, $C$13, 100%, $E$13)</f>
        <v>8.3796999999999997</v>
      </c>
      <c r="J352" s="61">
        <f>5.5103 * CHOOSE(CONTROL!$C$19, $C$13, 100%, $E$13)</f>
        <v>5.5103</v>
      </c>
      <c r="K352" s="61">
        <f>5.5105 * CHOOSE(CONTROL!$C$19, $C$13, 100%, $E$13)</f>
        <v>5.5105000000000004</v>
      </c>
    </row>
    <row r="353" spans="1:11" ht="15">
      <c r="A353" s="13">
        <v>52597</v>
      </c>
      <c r="B353" s="60">
        <f>5.0576 * CHOOSE(CONTROL!$C$19, $C$13, 100%, $E$13)</f>
        <v>5.0575999999999999</v>
      </c>
      <c r="C353" s="60">
        <f>5.0576 * CHOOSE(CONTROL!$C$19, $C$13, 100%, $E$13)</f>
        <v>5.0575999999999999</v>
      </c>
      <c r="D353" s="60">
        <f>5.0728 * CHOOSE(CONTROL!$C$19, $C$13, 100%, $E$13)</f>
        <v>5.0728</v>
      </c>
      <c r="E353" s="61">
        <f>5.5945 * CHOOSE(CONTROL!$C$19, $C$13, 100%, $E$13)</f>
        <v>5.5945</v>
      </c>
      <c r="F353" s="61">
        <f>5.5945 * CHOOSE(CONTROL!$C$19, $C$13, 100%, $E$13)</f>
        <v>5.5945</v>
      </c>
      <c r="G353" s="61">
        <f>5.5946 * CHOOSE(CONTROL!$C$19, $C$13, 100%, $E$13)</f>
        <v>5.5945999999999998</v>
      </c>
      <c r="H353" s="61">
        <f>8.397* CHOOSE(CONTROL!$C$19, $C$13, 100%, $E$13)</f>
        <v>8.3970000000000002</v>
      </c>
      <c r="I353" s="61">
        <f>8.3972 * CHOOSE(CONTROL!$C$19, $C$13, 100%, $E$13)</f>
        <v>8.3971999999999998</v>
      </c>
      <c r="J353" s="61">
        <f>5.5945 * CHOOSE(CONTROL!$C$19, $C$13, 100%, $E$13)</f>
        <v>5.5945</v>
      </c>
      <c r="K353" s="61">
        <f>5.5946 * CHOOSE(CONTROL!$C$19, $C$13, 100%, $E$13)</f>
        <v>5.5945999999999998</v>
      </c>
    </row>
    <row r="354" spans="1:11" ht="15">
      <c r="A354" s="13">
        <v>52628</v>
      </c>
      <c r="B354" s="60">
        <f>5.0546 * CHOOSE(CONTROL!$C$19, $C$13, 100%, $E$13)</f>
        <v>5.0545999999999998</v>
      </c>
      <c r="C354" s="60">
        <f>5.0546 * CHOOSE(CONTROL!$C$19, $C$13, 100%, $E$13)</f>
        <v>5.0545999999999998</v>
      </c>
      <c r="D354" s="60">
        <f>5.0697 * CHOOSE(CONTROL!$C$19, $C$13, 100%, $E$13)</f>
        <v>5.0697000000000001</v>
      </c>
      <c r="E354" s="61">
        <f>5.5099 * CHOOSE(CONTROL!$C$19, $C$13, 100%, $E$13)</f>
        <v>5.5099</v>
      </c>
      <c r="F354" s="61">
        <f>5.5099 * CHOOSE(CONTROL!$C$19, $C$13, 100%, $E$13)</f>
        <v>5.5099</v>
      </c>
      <c r="G354" s="61">
        <f>5.5101 * CHOOSE(CONTROL!$C$19, $C$13, 100%, $E$13)</f>
        <v>5.5101000000000004</v>
      </c>
      <c r="H354" s="61">
        <f>8.4145* CHOOSE(CONTROL!$C$19, $C$13, 100%, $E$13)</f>
        <v>8.4145000000000003</v>
      </c>
      <c r="I354" s="61">
        <f>8.4147 * CHOOSE(CONTROL!$C$19, $C$13, 100%, $E$13)</f>
        <v>8.4146999999999998</v>
      </c>
      <c r="J354" s="61">
        <f>5.5099 * CHOOSE(CONTROL!$C$19, $C$13, 100%, $E$13)</f>
        <v>5.5099</v>
      </c>
      <c r="K354" s="61">
        <f>5.5101 * CHOOSE(CONTROL!$C$19, $C$13, 100%, $E$13)</f>
        <v>5.5101000000000004</v>
      </c>
    </row>
    <row r="355" spans="1:11" ht="15">
      <c r="A355" s="13">
        <v>52657</v>
      </c>
      <c r="B355" s="60">
        <f>5.0515 * CHOOSE(CONTROL!$C$19, $C$13, 100%, $E$13)</f>
        <v>5.0514999999999999</v>
      </c>
      <c r="C355" s="60">
        <f>5.0515 * CHOOSE(CONTROL!$C$19, $C$13, 100%, $E$13)</f>
        <v>5.0514999999999999</v>
      </c>
      <c r="D355" s="60">
        <f>5.0667 * CHOOSE(CONTROL!$C$19, $C$13, 100%, $E$13)</f>
        <v>5.0667</v>
      </c>
      <c r="E355" s="61">
        <f>5.5728 * CHOOSE(CONTROL!$C$19, $C$13, 100%, $E$13)</f>
        <v>5.5728</v>
      </c>
      <c r="F355" s="61">
        <f>5.5728 * CHOOSE(CONTROL!$C$19, $C$13, 100%, $E$13)</f>
        <v>5.5728</v>
      </c>
      <c r="G355" s="61">
        <f>5.573 * CHOOSE(CONTROL!$C$19, $C$13, 100%, $E$13)</f>
        <v>5.5730000000000004</v>
      </c>
      <c r="H355" s="61">
        <f>8.432* CHOOSE(CONTROL!$C$19, $C$13, 100%, $E$13)</f>
        <v>8.4320000000000004</v>
      </c>
      <c r="I355" s="61">
        <f>8.4322 * CHOOSE(CONTROL!$C$19, $C$13, 100%, $E$13)</f>
        <v>8.4321999999999999</v>
      </c>
      <c r="J355" s="61">
        <f>5.5728 * CHOOSE(CONTROL!$C$19, $C$13, 100%, $E$13)</f>
        <v>5.5728</v>
      </c>
      <c r="K355" s="61">
        <f>5.573 * CHOOSE(CONTROL!$C$19, $C$13, 100%, $E$13)</f>
        <v>5.5730000000000004</v>
      </c>
    </row>
    <row r="356" spans="1:11" ht="15">
      <c r="A356" s="13">
        <v>52688</v>
      </c>
      <c r="B356" s="60">
        <f>5.0502 * CHOOSE(CONTROL!$C$19, $C$13, 100%, $E$13)</f>
        <v>5.0502000000000002</v>
      </c>
      <c r="C356" s="60">
        <f>5.0502 * CHOOSE(CONTROL!$C$19, $C$13, 100%, $E$13)</f>
        <v>5.0502000000000002</v>
      </c>
      <c r="D356" s="60">
        <f>5.0654 * CHOOSE(CONTROL!$C$19, $C$13, 100%, $E$13)</f>
        <v>5.0654000000000003</v>
      </c>
      <c r="E356" s="61">
        <f>5.6383 * CHOOSE(CONTROL!$C$19, $C$13, 100%, $E$13)</f>
        <v>5.6383000000000001</v>
      </c>
      <c r="F356" s="61">
        <f>5.6383 * CHOOSE(CONTROL!$C$19, $C$13, 100%, $E$13)</f>
        <v>5.6383000000000001</v>
      </c>
      <c r="G356" s="61">
        <f>5.6385 * CHOOSE(CONTROL!$C$19, $C$13, 100%, $E$13)</f>
        <v>5.6384999999999996</v>
      </c>
      <c r="H356" s="61">
        <f>8.4496* CHOOSE(CONTROL!$C$19, $C$13, 100%, $E$13)</f>
        <v>8.4496000000000002</v>
      </c>
      <c r="I356" s="61">
        <f>8.4498 * CHOOSE(CONTROL!$C$19, $C$13, 100%, $E$13)</f>
        <v>8.4497999999999998</v>
      </c>
      <c r="J356" s="61">
        <f>5.6383 * CHOOSE(CONTROL!$C$19, $C$13, 100%, $E$13)</f>
        <v>5.6383000000000001</v>
      </c>
      <c r="K356" s="61">
        <f>5.6385 * CHOOSE(CONTROL!$C$19, $C$13, 100%, $E$13)</f>
        <v>5.6384999999999996</v>
      </c>
    </row>
    <row r="357" spans="1:11" ht="15">
      <c r="A357" s="13">
        <v>52718</v>
      </c>
      <c r="B357" s="60">
        <f>5.0502 * CHOOSE(CONTROL!$C$19, $C$13, 100%, $E$13)</f>
        <v>5.0502000000000002</v>
      </c>
      <c r="C357" s="60">
        <f>5.0502 * CHOOSE(CONTROL!$C$19, $C$13, 100%, $E$13)</f>
        <v>5.0502000000000002</v>
      </c>
      <c r="D357" s="60">
        <f>5.0806 * CHOOSE(CONTROL!$C$19, $C$13, 100%, $E$13)</f>
        <v>5.0805999999999996</v>
      </c>
      <c r="E357" s="61">
        <f>5.6645 * CHOOSE(CONTROL!$C$19, $C$13, 100%, $E$13)</f>
        <v>5.6645000000000003</v>
      </c>
      <c r="F357" s="61">
        <f>5.6645 * CHOOSE(CONTROL!$C$19, $C$13, 100%, $E$13)</f>
        <v>5.6645000000000003</v>
      </c>
      <c r="G357" s="61">
        <f>5.6664 * CHOOSE(CONTROL!$C$19, $C$13, 100%, $E$13)</f>
        <v>5.6664000000000003</v>
      </c>
      <c r="H357" s="61">
        <f>8.4672* CHOOSE(CONTROL!$C$19, $C$13, 100%, $E$13)</f>
        <v>8.4672000000000001</v>
      </c>
      <c r="I357" s="61">
        <f>8.4691 * CHOOSE(CONTROL!$C$19, $C$13, 100%, $E$13)</f>
        <v>8.4690999999999992</v>
      </c>
      <c r="J357" s="61">
        <f>5.6645 * CHOOSE(CONTROL!$C$19, $C$13, 100%, $E$13)</f>
        <v>5.6645000000000003</v>
      </c>
      <c r="K357" s="61">
        <f>5.6664 * CHOOSE(CONTROL!$C$19, $C$13, 100%, $E$13)</f>
        <v>5.6664000000000003</v>
      </c>
    </row>
    <row r="358" spans="1:11" ht="15">
      <c r="A358" s="13">
        <v>52749</v>
      </c>
      <c r="B358" s="60">
        <f>5.0563 * CHOOSE(CONTROL!$C$19, $C$13, 100%, $E$13)</f>
        <v>5.0563000000000002</v>
      </c>
      <c r="C358" s="60">
        <f>5.0563 * CHOOSE(CONTROL!$C$19, $C$13, 100%, $E$13)</f>
        <v>5.0563000000000002</v>
      </c>
      <c r="D358" s="60">
        <f>5.0867 * CHOOSE(CONTROL!$C$19, $C$13, 100%, $E$13)</f>
        <v>5.0867000000000004</v>
      </c>
      <c r="E358" s="61">
        <f>5.6426 * CHOOSE(CONTROL!$C$19, $C$13, 100%, $E$13)</f>
        <v>5.6425999999999998</v>
      </c>
      <c r="F358" s="61">
        <f>5.6426 * CHOOSE(CONTROL!$C$19, $C$13, 100%, $E$13)</f>
        <v>5.6425999999999998</v>
      </c>
      <c r="G358" s="61">
        <f>5.6445 * CHOOSE(CONTROL!$C$19, $C$13, 100%, $E$13)</f>
        <v>5.6444999999999999</v>
      </c>
      <c r="H358" s="61">
        <f>8.4848* CHOOSE(CONTROL!$C$19, $C$13, 100%, $E$13)</f>
        <v>8.4847999999999999</v>
      </c>
      <c r="I358" s="61">
        <f>8.4867 * CHOOSE(CONTROL!$C$19, $C$13, 100%, $E$13)</f>
        <v>8.4867000000000008</v>
      </c>
      <c r="J358" s="61">
        <f>5.6426 * CHOOSE(CONTROL!$C$19, $C$13, 100%, $E$13)</f>
        <v>5.6425999999999998</v>
      </c>
      <c r="K358" s="61">
        <f>5.6445 * CHOOSE(CONTROL!$C$19, $C$13, 100%, $E$13)</f>
        <v>5.6444999999999999</v>
      </c>
    </row>
    <row r="359" spans="1:11" ht="15">
      <c r="A359" s="13">
        <v>52779</v>
      </c>
      <c r="B359" s="60">
        <f>5.1354 * CHOOSE(CONTROL!$C$19, $C$13, 100%, $E$13)</f>
        <v>5.1353999999999997</v>
      </c>
      <c r="C359" s="60">
        <f>5.1354 * CHOOSE(CONTROL!$C$19, $C$13, 100%, $E$13)</f>
        <v>5.1353999999999997</v>
      </c>
      <c r="D359" s="60">
        <f>5.1657 * CHOOSE(CONTROL!$C$19, $C$13, 100%, $E$13)</f>
        <v>5.1657000000000002</v>
      </c>
      <c r="E359" s="61">
        <f>5.7521 * CHOOSE(CONTROL!$C$19, $C$13, 100%, $E$13)</f>
        <v>5.7521000000000004</v>
      </c>
      <c r="F359" s="61">
        <f>5.7521 * CHOOSE(CONTROL!$C$19, $C$13, 100%, $E$13)</f>
        <v>5.7521000000000004</v>
      </c>
      <c r="G359" s="61">
        <f>5.754 * CHOOSE(CONTROL!$C$19, $C$13, 100%, $E$13)</f>
        <v>5.7539999999999996</v>
      </c>
      <c r="H359" s="61">
        <f>8.5025* CHOOSE(CONTROL!$C$19, $C$13, 100%, $E$13)</f>
        <v>8.5024999999999995</v>
      </c>
      <c r="I359" s="61">
        <f>8.5044 * CHOOSE(CONTROL!$C$19, $C$13, 100%, $E$13)</f>
        <v>8.5044000000000004</v>
      </c>
      <c r="J359" s="61">
        <f>5.7521 * CHOOSE(CONTROL!$C$19, $C$13, 100%, $E$13)</f>
        <v>5.7521000000000004</v>
      </c>
      <c r="K359" s="61">
        <f>5.754 * CHOOSE(CONTROL!$C$19, $C$13, 100%, $E$13)</f>
        <v>5.7539999999999996</v>
      </c>
    </row>
    <row r="360" spans="1:11" ht="15">
      <c r="A360" s="13">
        <v>52810</v>
      </c>
      <c r="B360" s="60">
        <f>5.142 * CHOOSE(CONTROL!$C$19, $C$13, 100%, $E$13)</f>
        <v>5.1420000000000003</v>
      </c>
      <c r="C360" s="60">
        <f>5.142 * CHOOSE(CONTROL!$C$19, $C$13, 100%, $E$13)</f>
        <v>5.1420000000000003</v>
      </c>
      <c r="D360" s="60">
        <f>5.1724 * CHOOSE(CONTROL!$C$19, $C$13, 100%, $E$13)</f>
        <v>5.1723999999999997</v>
      </c>
      <c r="E360" s="61">
        <f>5.6783 * CHOOSE(CONTROL!$C$19, $C$13, 100%, $E$13)</f>
        <v>5.6783000000000001</v>
      </c>
      <c r="F360" s="61">
        <f>5.6783 * CHOOSE(CONTROL!$C$19, $C$13, 100%, $E$13)</f>
        <v>5.6783000000000001</v>
      </c>
      <c r="G360" s="61">
        <f>5.6802 * CHOOSE(CONTROL!$C$19, $C$13, 100%, $E$13)</f>
        <v>5.6802000000000001</v>
      </c>
      <c r="H360" s="61">
        <f>8.5202* CHOOSE(CONTROL!$C$19, $C$13, 100%, $E$13)</f>
        <v>8.5202000000000009</v>
      </c>
      <c r="I360" s="61">
        <f>8.5221 * CHOOSE(CONTROL!$C$19, $C$13, 100%, $E$13)</f>
        <v>8.5221</v>
      </c>
      <c r="J360" s="61">
        <f>5.6783 * CHOOSE(CONTROL!$C$19, $C$13, 100%, $E$13)</f>
        <v>5.6783000000000001</v>
      </c>
      <c r="K360" s="61">
        <f>5.6802 * CHOOSE(CONTROL!$C$19, $C$13, 100%, $E$13)</f>
        <v>5.6802000000000001</v>
      </c>
    </row>
    <row r="361" spans="1:11" ht="15">
      <c r="A361" s="13">
        <v>52841</v>
      </c>
      <c r="B361" s="60">
        <f>5.139 * CHOOSE(CONTROL!$C$19, $C$13, 100%, $E$13)</f>
        <v>5.1390000000000002</v>
      </c>
      <c r="C361" s="60">
        <f>5.139 * CHOOSE(CONTROL!$C$19, $C$13, 100%, $E$13)</f>
        <v>5.1390000000000002</v>
      </c>
      <c r="D361" s="60">
        <f>5.1694 * CHOOSE(CONTROL!$C$19, $C$13, 100%, $E$13)</f>
        <v>5.1694000000000004</v>
      </c>
      <c r="E361" s="61">
        <f>5.6674 * CHOOSE(CONTROL!$C$19, $C$13, 100%, $E$13)</f>
        <v>5.6673999999999998</v>
      </c>
      <c r="F361" s="61">
        <f>5.6674 * CHOOSE(CONTROL!$C$19, $C$13, 100%, $E$13)</f>
        <v>5.6673999999999998</v>
      </c>
      <c r="G361" s="61">
        <f>5.6693 * CHOOSE(CONTROL!$C$19, $C$13, 100%, $E$13)</f>
        <v>5.6692999999999998</v>
      </c>
      <c r="H361" s="61">
        <f>8.538* CHOOSE(CONTROL!$C$19, $C$13, 100%, $E$13)</f>
        <v>8.5380000000000003</v>
      </c>
      <c r="I361" s="61">
        <f>8.5399 * CHOOSE(CONTROL!$C$19, $C$13, 100%, $E$13)</f>
        <v>8.5398999999999994</v>
      </c>
      <c r="J361" s="61">
        <f>5.6674 * CHOOSE(CONTROL!$C$19, $C$13, 100%, $E$13)</f>
        <v>5.6673999999999998</v>
      </c>
      <c r="K361" s="61">
        <f>5.6693 * CHOOSE(CONTROL!$C$19, $C$13, 100%, $E$13)</f>
        <v>5.6692999999999998</v>
      </c>
    </row>
    <row r="362" spans="1:11" ht="15">
      <c r="A362" s="13">
        <v>52871</v>
      </c>
      <c r="B362" s="60">
        <f>5.1385 * CHOOSE(CONTROL!$C$19, $C$13, 100%, $E$13)</f>
        <v>5.1384999999999996</v>
      </c>
      <c r="C362" s="60">
        <f>5.1385 * CHOOSE(CONTROL!$C$19, $C$13, 100%, $E$13)</f>
        <v>5.1384999999999996</v>
      </c>
      <c r="D362" s="60">
        <f>5.1537 * CHOOSE(CONTROL!$C$19, $C$13, 100%, $E$13)</f>
        <v>5.1536999999999997</v>
      </c>
      <c r="E362" s="61">
        <f>5.6889 * CHOOSE(CONTROL!$C$19, $C$13, 100%, $E$13)</f>
        <v>5.6889000000000003</v>
      </c>
      <c r="F362" s="61">
        <f>5.6889 * CHOOSE(CONTROL!$C$19, $C$13, 100%, $E$13)</f>
        <v>5.6889000000000003</v>
      </c>
      <c r="G362" s="61">
        <f>5.6891 * CHOOSE(CONTROL!$C$19, $C$13, 100%, $E$13)</f>
        <v>5.6890999999999998</v>
      </c>
      <c r="H362" s="61">
        <f>8.5558* CHOOSE(CONTROL!$C$19, $C$13, 100%, $E$13)</f>
        <v>8.5557999999999996</v>
      </c>
      <c r="I362" s="61">
        <f>8.5559 * CHOOSE(CONTROL!$C$19, $C$13, 100%, $E$13)</f>
        <v>8.5558999999999994</v>
      </c>
      <c r="J362" s="61">
        <f>5.6889 * CHOOSE(CONTROL!$C$19, $C$13, 100%, $E$13)</f>
        <v>5.6889000000000003</v>
      </c>
      <c r="K362" s="61">
        <f>5.6891 * CHOOSE(CONTROL!$C$19, $C$13, 100%, $E$13)</f>
        <v>5.6890999999999998</v>
      </c>
    </row>
    <row r="363" spans="1:11" ht="15">
      <c r="A363" s="13">
        <v>52902</v>
      </c>
      <c r="B363" s="60">
        <f>5.1415 * CHOOSE(CONTROL!$C$19, $C$13, 100%, $E$13)</f>
        <v>5.1414999999999997</v>
      </c>
      <c r="C363" s="60">
        <f>5.1415 * CHOOSE(CONTROL!$C$19, $C$13, 100%, $E$13)</f>
        <v>5.1414999999999997</v>
      </c>
      <c r="D363" s="60">
        <f>5.1567 * CHOOSE(CONTROL!$C$19, $C$13, 100%, $E$13)</f>
        <v>5.1566999999999998</v>
      </c>
      <c r="E363" s="61">
        <f>5.7085 * CHOOSE(CONTROL!$C$19, $C$13, 100%, $E$13)</f>
        <v>5.7084999999999999</v>
      </c>
      <c r="F363" s="61">
        <f>5.7085 * CHOOSE(CONTROL!$C$19, $C$13, 100%, $E$13)</f>
        <v>5.7084999999999999</v>
      </c>
      <c r="G363" s="61">
        <f>5.7087 * CHOOSE(CONTROL!$C$19, $C$13, 100%, $E$13)</f>
        <v>5.7087000000000003</v>
      </c>
      <c r="H363" s="61">
        <f>8.5736* CHOOSE(CONTROL!$C$19, $C$13, 100%, $E$13)</f>
        <v>8.5736000000000008</v>
      </c>
      <c r="I363" s="61">
        <f>8.5738 * CHOOSE(CONTROL!$C$19, $C$13, 100%, $E$13)</f>
        <v>8.5738000000000003</v>
      </c>
      <c r="J363" s="61">
        <f>5.7085 * CHOOSE(CONTROL!$C$19, $C$13, 100%, $E$13)</f>
        <v>5.7084999999999999</v>
      </c>
      <c r="K363" s="61">
        <f>5.7087 * CHOOSE(CONTROL!$C$19, $C$13, 100%, $E$13)</f>
        <v>5.7087000000000003</v>
      </c>
    </row>
    <row r="364" spans="1:11" ht="15">
      <c r="A364" s="13">
        <v>52932</v>
      </c>
      <c r="B364" s="60">
        <f>5.1415 * CHOOSE(CONTROL!$C$19, $C$13, 100%, $E$13)</f>
        <v>5.1414999999999997</v>
      </c>
      <c r="C364" s="60">
        <f>5.1415 * CHOOSE(CONTROL!$C$19, $C$13, 100%, $E$13)</f>
        <v>5.1414999999999997</v>
      </c>
      <c r="D364" s="60">
        <f>5.1567 * CHOOSE(CONTROL!$C$19, $C$13, 100%, $E$13)</f>
        <v>5.1566999999999998</v>
      </c>
      <c r="E364" s="61">
        <f>5.6649 * CHOOSE(CONTROL!$C$19, $C$13, 100%, $E$13)</f>
        <v>5.6649000000000003</v>
      </c>
      <c r="F364" s="61">
        <f>5.6649 * CHOOSE(CONTROL!$C$19, $C$13, 100%, $E$13)</f>
        <v>5.6649000000000003</v>
      </c>
      <c r="G364" s="61">
        <f>5.665 * CHOOSE(CONTROL!$C$19, $C$13, 100%, $E$13)</f>
        <v>5.665</v>
      </c>
      <c r="H364" s="61">
        <f>8.5915* CHOOSE(CONTROL!$C$19, $C$13, 100%, $E$13)</f>
        <v>8.5914999999999999</v>
      </c>
      <c r="I364" s="61">
        <f>8.5916 * CHOOSE(CONTROL!$C$19, $C$13, 100%, $E$13)</f>
        <v>8.5915999999999997</v>
      </c>
      <c r="J364" s="61">
        <f>5.6649 * CHOOSE(CONTROL!$C$19, $C$13, 100%, $E$13)</f>
        <v>5.6649000000000003</v>
      </c>
      <c r="K364" s="61">
        <f>5.665 * CHOOSE(CONTROL!$C$19, $C$13, 100%, $E$13)</f>
        <v>5.665</v>
      </c>
    </row>
    <row r="365" spans="1:11" ht="15">
      <c r="A365" s="13">
        <v>52963</v>
      </c>
      <c r="B365" s="60">
        <f>5.186 * CHOOSE(CONTROL!$C$19, $C$13, 100%, $E$13)</f>
        <v>5.1859999999999999</v>
      </c>
      <c r="C365" s="60">
        <f>5.186 * CHOOSE(CONTROL!$C$19, $C$13, 100%, $E$13)</f>
        <v>5.1859999999999999</v>
      </c>
      <c r="D365" s="60">
        <f>5.2012 * CHOOSE(CONTROL!$C$19, $C$13, 100%, $E$13)</f>
        <v>5.2012</v>
      </c>
      <c r="E365" s="61">
        <f>5.7515 * CHOOSE(CONTROL!$C$19, $C$13, 100%, $E$13)</f>
        <v>5.7515000000000001</v>
      </c>
      <c r="F365" s="61">
        <f>5.7515 * CHOOSE(CONTROL!$C$19, $C$13, 100%, $E$13)</f>
        <v>5.7515000000000001</v>
      </c>
      <c r="G365" s="61">
        <f>5.7516 * CHOOSE(CONTROL!$C$19, $C$13, 100%, $E$13)</f>
        <v>5.7515999999999998</v>
      </c>
      <c r="H365" s="61">
        <f>8.6093* CHOOSE(CONTROL!$C$19, $C$13, 100%, $E$13)</f>
        <v>8.6092999999999993</v>
      </c>
      <c r="I365" s="61">
        <f>8.6095 * CHOOSE(CONTROL!$C$19, $C$13, 100%, $E$13)</f>
        <v>8.6095000000000006</v>
      </c>
      <c r="J365" s="61">
        <f>5.7515 * CHOOSE(CONTROL!$C$19, $C$13, 100%, $E$13)</f>
        <v>5.7515000000000001</v>
      </c>
      <c r="K365" s="61">
        <f>5.7516 * CHOOSE(CONTROL!$C$19, $C$13, 100%, $E$13)</f>
        <v>5.7515999999999998</v>
      </c>
    </row>
    <row r="366" spans="1:11" ht="15">
      <c r="A366" s="13">
        <v>52994</v>
      </c>
      <c r="B366" s="60">
        <f>5.183 * CHOOSE(CONTROL!$C$19, $C$13, 100%, $E$13)</f>
        <v>5.1829999999999998</v>
      </c>
      <c r="C366" s="60">
        <f>5.183 * CHOOSE(CONTROL!$C$19, $C$13, 100%, $E$13)</f>
        <v>5.1829999999999998</v>
      </c>
      <c r="D366" s="60">
        <f>5.1981 * CHOOSE(CONTROL!$C$19, $C$13, 100%, $E$13)</f>
        <v>5.1981000000000002</v>
      </c>
      <c r="E366" s="61">
        <f>5.6643 * CHOOSE(CONTROL!$C$19, $C$13, 100%, $E$13)</f>
        <v>5.6642999999999999</v>
      </c>
      <c r="F366" s="61">
        <f>5.6643 * CHOOSE(CONTROL!$C$19, $C$13, 100%, $E$13)</f>
        <v>5.6642999999999999</v>
      </c>
      <c r="G366" s="61">
        <f>5.6645 * CHOOSE(CONTROL!$C$19, $C$13, 100%, $E$13)</f>
        <v>5.6645000000000003</v>
      </c>
      <c r="H366" s="61">
        <f>8.6273* CHOOSE(CONTROL!$C$19, $C$13, 100%, $E$13)</f>
        <v>8.6273</v>
      </c>
      <c r="I366" s="61">
        <f>8.6275 * CHOOSE(CONTROL!$C$19, $C$13, 100%, $E$13)</f>
        <v>8.6274999999999995</v>
      </c>
      <c r="J366" s="61">
        <f>5.6643 * CHOOSE(CONTROL!$C$19, $C$13, 100%, $E$13)</f>
        <v>5.6642999999999999</v>
      </c>
      <c r="K366" s="61">
        <f>5.6645 * CHOOSE(CONTROL!$C$19, $C$13, 100%, $E$13)</f>
        <v>5.6645000000000003</v>
      </c>
    </row>
    <row r="367" spans="1:11" ht="15">
      <c r="A367" s="13">
        <v>53022</v>
      </c>
      <c r="B367" s="60">
        <f>5.1799 * CHOOSE(CONTROL!$C$19, $C$13, 100%, $E$13)</f>
        <v>5.1798999999999999</v>
      </c>
      <c r="C367" s="60">
        <f>5.1799 * CHOOSE(CONTROL!$C$19, $C$13, 100%, $E$13)</f>
        <v>5.1798999999999999</v>
      </c>
      <c r="D367" s="60">
        <f>5.1951 * CHOOSE(CONTROL!$C$19, $C$13, 100%, $E$13)</f>
        <v>5.1951000000000001</v>
      </c>
      <c r="E367" s="61">
        <f>5.7292 * CHOOSE(CONTROL!$C$19, $C$13, 100%, $E$13)</f>
        <v>5.7291999999999996</v>
      </c>
      <c r="F367" s="61">
        <f>5.7292 * CHOOSE(CONTROL!$C$19, $C$13, 100%, $E$13)</f>
        <v>5.7291999999999996</v>
      </c>
      <c r="G367" s="61">
        <f>5.7294 * CHOOSE(CONTROL!$C$19, $C$13, 100%, $E$13)</f>
        <v>5.7294</v>
      </c>
      <c r="H367" s="61">
        <f>8.6453* CHOOSE(CONTROL!$C$19, $C$13, 100%, $E$13)</f>
        <v>8.6453000000000007</v>
      </c>
      <c r="I367" s="61">
        <f>8.6454 * CHOOSE(CONTROL!$C$19, $C$13, 100%, $E$13)</f>
        <v>8.6454000000000004</v>
      </c>
      <c r="J367" s="61">
        <f>5.7292 * CHOOSE(CONTROL!$C$19, $C$13, 100%, $E$13)</f>
        <v>5.7291999999999996</v>
      </c>
      <c r="K367" s="61">
        <f>5.7294 * CHOOSE(CONTROL!$C$19, $C$13, 100%, $E$13)</f>
        <v>5.7294</v>
      </c>
    </row>
    <row r="368" spans="1:11" ht="15">
      <c r="A368" s="13">
        <v>53053</v>
      </c>
      <c r="B368" s="60">
        <f>5.1788 * CHOOSE(CONTROL!$C$19, $C$13, 100%, $E$13)</f>
        <v>5.1787999999999998</v>
      </c>
      <c r="C368" s="60">
        <f>5.1788 * CHOOSE(CONTROL!$C$19, $C$13, 100%, $E$13)</f>
        <v>5.1787999999999998</v>
      </c>
      <c r="D368" s="60">
        <f>5.194 * CHOOSE(CONTROL!$C$19, $C$13, 100%, $E$13)</f>
        <v>5.194</v>
      </c>
      <c r="E368" s="61">
        <f>5.797 * CHOOSE(CONTROL!$C$19, $C$13, 100%, $E$13)</f>
        <v>5.7969999999999997</v>
      </c>
      <c r="F368" s="61">
        <f>5.797 * CHOOSE(CONTROL!$C$19, $C$13, 100%, $E$13)</f>
        <v>5.7969999999999997</v>
      </c>
      <c r="G368" s="61">
        <f>5.7972 * CHOOSE(CONTROL!$C$19, $C$13, 100%, $E$13)</f>
        <v>5.7972000000000001</v>
      </c>
      <c r="H368" s="61">
        <f>8.6633* CHOOSE(CONTROL!$C$19, $C$13, 100%, $E$13)</f>
        <v>8.6632999999999996</v>
      </c>
      <c r="I368" s="61">
        <f>8.6634 * CHOOSE(CONTROL!$C$19, $C$13, 100%, $E$13)</f>
        <v>8.6633999999999993</v>
      </c>
      <c r="J368" s="61">
        <f>5.797 * CHOOSE(CONTROL!$C$19, $C$13, 100%, $E$13)</f>
        <v>5.7969999999999997</v>
      </c>
      <c r="K368" s="61">
        <f>5.7972 * CHOOSE(CONTROL!$C$19, $C$13, 100%, $E$13)</f>
        <v>5.7972000000000001</v>
      </c>
    </row>
    <row r="369" spans="1:11" ht="15">
      <c r="A369" s="13">
        <v>53083</v>
      </c>
      <c r="B369" s="60">
        <f>5.1788 * CHOOSE(CONTROL!$C$19, $C$13, 100%, $E$13)</f>
        <v>5.1787999999999998</v>
      </c>
      <c r="C369" s="60">
        <f>5.1788 * CHOOSE(CONTROL!$C$19, $C$13, 100%, $E$13)</f>
        <v>5.1787999999999998</v>
      </c>
      <c r="D369" s="60">
        <f>5.2091 * CHOOSE(CONTROL!$C$19, $C$13, 100%, $E$13)</f>
        <v>5.2091000000000003</v>
      </c>
      <c r="E369" s="61">
        <f>5.824 * CHOOSE(CONTROL!$C$19, $C$13, 100%, $E$13)</f>
        <v>5.8239999999999998</v>
      </c>
      <c r="F369" s="61">
        <f>5.824 * CHOOSE(CONTROL!$C$19, $C$13, 100%, $E$13)</f>
        <v>5.8239999999999998</v>
      </c>
      <c r="G369" s="61">
        <f>5.8259 * CHOOSE(CONTROL!$C$19, $C$13, 100%, $E$13)</f>
        <v>5.8258999999999999</v>
      </c>
      <c r="H369" s="61">
        <f>8.6813* CHOOSE(CONTROL!$C$19, $C$13, 100%, $E$13)</f>
        <v>8.6813000000000002</v>
      </c>
      <c r="I369" s="61">
        <f>8.6832 * CHOOSE(CONTROL!$C$19, $C$13, 100%, $E$13)</f>
        <v>8.6831999999999994</v>
      </c>
      <c r="J369" s="61">
        <f>5.824 * CHOOSE(CONTROL!$C$19, $C$13, 100%, $E$13)</f>
        <v>5.8239999999999998</v>
      </c>
      <c r="K369" s="61">
        <f>5.8259 * CHOOSE(CONTROL!$C$19, $C$13, 100%, $E$13)</f>
        <v>5.8258999999999999</v>
      </c>
    </row>
    <row r="370" spans="1:11" ht="15">
      <c r="A370" s="13">
        <v>53114</v>
      </c>
      <c r="B370" s="60">
        <f>5.1848 * CHOOSE(CONTROL!$C$19, $C$13, 100%, $E$13)</f>
        <v>5.1848000000000001</v>
      </c>
      <c r="C370" s="60">
        <f>5.1848 * CHOOSE(CONTROL!$C$19, $C$13, 100%, $E$13)</f>
        <v>5.1848000000000001</v>
      </c>
      <c r="D370" s="60">
        <f>5.2152 * CHOOSE(CONTROL!$C$19, $C$13, 100%, $E$13)</f>
        <v>5.2152000000000003</v>
      </c>
      <c r="E370" s="61">
        <f>5.8012 * CHOOSE(CONTROL!$C$19, $C$13, 100%, $E$13)</f>
        <v>5.8011999999999997</v>
      </c>
      <c r="F370" s="61">
        <f>5.8012 * CHOOSE(CONTROL!$C$19, $C$13, 100%, $E$13)</f>
        <v>5.8011999999999997</v>
      </c>
      <c r="G370" s="61">
        <f>5.8031 * CHOOSE(CONTROL!$C$19, $C$13, 100%, $E$13)</f>
        <v>5.8030999999999997</v>
      </c>
      <c r="H370" s="61">
        <f>8.6994* CHOOSE(CONTROL!$C$19, $C$13, 100%, $E$13)</f>
        <v>8.6994000000000007</v>
      </c>
      <c r="I370" s="61">
        <f>8.7013 * CHOOSE(CONTROL!$C$19, $C$13, 100%, $E$13)</f>
        <v>8.7012999999999998</v>
      </c>
      <c r="J370" s="61">
        <f>5.8012 * CHOOSE(CONTROL!$C$19, $C$13, 100%, $E$13)</f>
        <v>5.8011999999999997</v>
      </c>
      <c r="K370" s="61">
        <f>5.8031 * CHOOSE(CONTROL!$C$19, $C$13, 100%, $E$13)</f>
        <v>5.8030999999999997</v>
      </c>
    </row>
    <row r="371" spans="1:11" ht="15">
      <c r="A371" s="13">
        <v>53144</v>
      </c>
      <c r="B371" s="60">
        <f>5.2653 * CHOOSE(CONTROL!$C$19, $C$13, 100%, $E$13)</f>
        <v>5.2652999999999999</v>
      </c>
      <c r="C371" s="60">
        <f>5.2653 * CHOOSE(CONTROL!$C$19, $C$13, 100%, $E$13)</f>
        <v>5.2652999999999999</v>
      </c>
      <c r="D371" s="60">
        <f>5.2957 * CHOOSE(CONTROL!$C$19, $C$13, 100%, $E$13)</f>
        <v>5.2957000000000001</v>
      </c>
      <c r="E371" s="61">
        <f>5.9136 * CHOOSE(CONTROL!$C$19, $C$13, 100%, $E$13)</f>
        <v>5.9135999999999997</v>
      </c>
      <c r="F371" s="61">
        <f>5.9136 * CHOOSE(CONTROL!$C$19, $C$13, 100%, $E$13)</f>
        <v>5.9135999999999997</v>
      </c>
      <c r="G371" s="61">
        <f>5.9155 * CHOOSE(CONTROL!$C$19, $C$13, 100%, $E$13)</f>
        <v>5.9154999999999998</v>
      </c>
      <c r="H371" s="61">
        <f>8.7175* CHOOSE(CONTROL!$C$19, $C$13, 100%, $E$13)</f>
        <v>8.7174999999999994</v>
      </c>
      <c r="I371" s="61">
        <f>8.7194 * CHOOSE(CONTROL!$C$19, $C$13, 100%, $E$13)</f>
        <v>8.7194000000000003</v>
      </c>
      <c r="J371" s="61">
        <f>5.9136 * CHOOSE(CONTROL!$C$19, $C$13, 100%, $E$13)</f>
        <v>5.9135999999999997</v>
      </c>
      <c r="K371" s="61">
        <f>5.9155 * CHOOSE(CONTROL!$C$19, $C$13, 100%, $E$13)</f>
        <v>5.9154999999999998</v>
      </c>
    </row>
    <row r="372" spans="1:11" ht="15">
      <c r="A372" s="13">
        <v>53175</v>
      </c>
      <c r="B372" s="60">
        <f>5.272 * CHOOSE(CONTROL!$C$19, $C$13, 100%, $E$13)</f>
        <v>5.2720000000000002</v>
      </c>
      <c r="C372" s="60">
        <f>5.272 * CHOOSE(CONTROL!$C$19, $C$13, 100%, $E$13)</f>
        <v>5.2720000000000002</v>
      </c>
      <c r="D372" s="60">
        <f>5.3024 * CHOOSE(CONTROL!$C$19, $C$13, 100%, $E$13)</f>
        <v>5.3023999999999996</v>
      </c>
      <c r="E372" s="61">
        <f>5.8372 * CHOOSE(CONTROL!$C$19, $C$13, 100%, $E$13)</f>
        <v>5.8372000000000002</v>
      </c>
      <c r="F372" s="61">
        <f>5.8372 * CHOOSE(CONTROL!$C$19, $C$13, 100%, $E$13)</f>
        <v>5.8372000000000002</v>
      </c>
      <c r="G372" s="61">
        <f>5.8391 * CHOOSE(CONTROL!$C$19, $C$13, 100%, $E$13)</f>
        <v>5.8391000000000002</v>
      </c>
      <c r="H372" s="61">
        <f>8.7357* CHOOSE(CONTROL!$C$19, $C$13, 100%, $E$13)</f>
        <v>8.7356999999999996</v>
      </c>
      <c r="I372" s="61">
        <f>8.7376 * CHOOSE(CONTROL!$C$19, $C$13, 100%, $E$13)</f>
        <v>8.7376000000000005</v>
      </c>
      <c r="J372" s="61">
        <f>5.8372 * CHOOSE(CONTROL!$C$19, $C$13, 100%, $E$13)</f>
        <v>5.8372000000000002</v>
      </c>
      <c r="K372" s="61">
        <f>5.8391 * CHOOSE(CONTROL!$C$19, $C$13, 100%, $E$13)</f>
        <v>5.8391000000000002</v>
      </c>
    </row>
    <row r="373" spans="1:11" ht="15">
      <c r="A373" s="13">
        <v>53206</v>
      </c>
      <c r="B373" s="60">
        <f>5.269 * CHOOSE(CONTROL!$C$19, $C$13, 100%, $E$13)</f>
        <v>5.2690000000000001</v>
      </c>
      <c r="C373" s="60">
        <f>5.269 * CHOOSE(CONTROL!$C$19, $C$13, 100%, $E$13)</f>
        <v>5.2690000000000001</v>
      </c>
      <c r="D373" s="60">
        <f>5.2993 * CHOOSE(CONTROL!$C$19, $C$13, 100%, $E$13)</f>
        <v>5.2992999999999997</v>
      </c>
      <c r="E373" s="61">
        <f>5.8261 * CHOOSE(CONTROL!$C$19, $C$13, 100%, $E$13)</f>
        <v>5.8261000000000003</v>
      </c>
      <c r="F373" s="61">
        <f>5.8261 * CHOOSE(CONTROL!$C$19, $C$13, 100%, $E$13)</f>
        <v>5.8261000000000003</v>
      </c>
      <c r="G373" s="61">
        <f>5.828 * CHOOSE(CONTROL!$C$19, $C$13, 100%, $E$13)</f>
        <v>5.8280000000000003</v>
      </c>
      <c r="H373" s="61">
        <f>8.7539* CHOOSE(CONTROL!$C$19, $C$13, 100%, $E$13)</f>
        <v>8.7538999999999998</v>
      </c>
      <c r="I373" s="61">
        <f>8.7558 * CHOOSE(CONTROL!$C$19, $C$13, 100%, $E$13)</f>
        <v>8.7558000000000007</v>
      </c>
      <c r="J373" s="61">
        <f>5.8261 * CHOOSE(CONTROL!$C$19, $C$13, 100%, $E$13)</f>
        <v>5.8261000000000003</v>
      </c>
      <c r="K373" s="61">
        <f>5.828 * CHOOSE(CONTROL!$C$19, $C$13, 100%, $E$13)</f>
        <v>5.8280000000000003</v>
      </c>
    </row>
    <row r="374" spans="1:11" ht="15">
      <c r="A374" s="13">
        <v>53236</v>
      </c>
      <c r="B374" s="60">
        <f>5.2689 * CHOOSE(CONTROL!$C$19, $C$13, 100%, $E$13)</f>
        <v>5.2689000000000004</v>
      </c>
      <c r="C374" s="60">
        <f>5.2689 * CHOOSE(CONTROL!$C$19, $C$13, 100%, $E$13)</f>
        <v>5.2689000000000004</v>
      </c>
      <c r="D374" s="60">
        <f>5.2841 * CHOOSE(CONTROL!$C$19, $C$13, 100%, $E$13)</f>
        <v>5.2840999999999996</v>
      </c>
      <c r="E374" s="61">
        <f>5.8487 * CHOOSE(CONTROL!$C$19, $C$13, 100%, $E$13)</f>
        <v>5.8487</v>
      </c>
      <c r="F374" s="61">
        <f>5.8487 * CHOOSE(CONTROL!$C$19, $C$13, 100%, $E$13)</f>
        <v>5.8487</v>
      </c>
      <c r="G374" s="61">
        <f>5.8489 * CHOOSE(CONTROL!$C$19, $C$13, 100%, $E$13)</f>
        <v>5.8489000000000004</v>
      </c>
      <c r="H374" s="61">
        <f>8.7721* CHOOSE(CONTROL!$C$19, $C$13, 100%, $E$13)</f>
        <v>8.7721</v>
      </c>
      <c r="I374" s="61">
        <f>8.7723 * CHOOSE(CONTROL!$C$19, $C$13, 100%, $E$13)</f>
        <v>8.7722999999999995</v>
      </c>
      <c r="J374" s="61">
        <f>5.8487 * CHOOSE(CONTROL!$C$19, $C$13, 100%, $E$13)</f>
        <v>5.8487</v>
      </c>
      <c r="K374" s="61">
        <f>5.8489 * CHOOSE(CONTROL!$C$19, $C$13, 100%, $E$13)</f>
        <v>5.8489000000000004</v>
      </c>
    </row>
    <row r="375" spans="1:11" ht="15">
      <c r="A375" s="13">
        <v>53267</v>
      </c>
      <c r="B375" s="60">
        <f>5.272 * CHOOSE(CONTROL!$C$19, $C$13, 100%, $E$13)</f>
        <v>5.2720000000000002</v>
      </c>
      <c r="C375" s="60">
        <f>5.272 * CHOOSE(CONTROL!$C$19, $C$13, 100%, $E$13)</f>
        <v>5.2720000000000002</v>
      </c>
      <c r="D375" s="60">
        <f>5.2872 * CHOOSE(CONTROL!$C$19, $C$13, 100%, $E$13)</f>
        <v>5.2872000000000003</v>
      </c>
      <c r="E375" s="61">
        <f>5.8688 * CHOOSE(CONTROL!$C$19, $C$13, 100%, $E$13)</f>
        <v>5.8688000000000002</v>
      </c>
      <c r="F375" s="61">
        <f>5.8688 * CHOOSE(CONTROL!$C$19, $C$13, 100%, $E$13)</f>
        <v>5.8688000000000002</v>
      </c>
      <c r="G375" s="61">
        <f>5.869 * CHOOSE(CONTROL!$C$19, $C$13, 100%, $E$13)</f>
        <v>5.8689999999999998</v>
      </c>
      <c r="H375" s="61">
        <f>8.7904* CHOOSE(CONTROL!$C$19, $C$13, 100%, $E$13)</f>
        <v>8.7904</v>
      </c>
      <c r="I375" s="61">
        <f>8.7906 * CHOOSE(CONTROL!$C$19, $C$13, 100%, $E$13)</f>
        <v>8.7905999999999995</v>
      </c>
      <c r="J375" s="61">
        <f>5.8688 * CHOOSE(CONTROL!$C$19, $C$13, 100%, $E$13)</f>
        <v>5.8688000000000002</v>
      </c>
      <c r="K375" s="61">
        <f>5.869 * CHOOSE(CONTROL!$C$19, $C$13, 100%, $E$13)</f>
        <v>5.8689999999999998</v>
      </c>
    </row>
    <row r="376" spans="1:11" ht="15">
      <c r="A376" s="13">
        <v>53297</v>
      </c>
      <c r="B376" s="60">
        <f>5.272 * CHOOSE(CONTROL!$C$19, $C$13, 100%, $E$13)</f>
        <v>5.2720000000000002</v>
      </c>
      <c r="C376" s="60">
        <f>5.272 * CHOOSE(CONTROL!$C$19, $C$13, 100%, $E$13)</f>
        <v>5.2720000000000002</v>
      </c>
      <c r="D376" s="60">
        <f>5.2872 * CHOOSE(CONTROL!$C$19, $C$13, 100%, $E$13)</f>
        <v>5.2872000000000003</v>
      </c>
      <c r="E376" s="61">
        <f>5.8238 * CHOOSE(CONTROL!$C$19, $C$13, 100%, $E$13)</f>
        <v>5.8238000000000003</v>
      </c>
      <c r="F376" s="61">
        <f>5.8238 * CHOOSE(CONTROL!$C$19, $C$13, 100%, $E$13)</f>
        <v>5.8238000000000003</v>
      </c>
      <c r="G376" s="61">
        <f>5.824 * CHOOSE(CONTROL!$C$19, $C$13, 100%, $E$13)</f>
        <v>5.8239999999999998</v>
      </c>
      <c r="H376" s="61">
        <f>8.8087* CHOOSE(CONTROL!$C$19, $C$13, 100%, $E$13)</f>
        <v>8.8087</v>
      </c>
      <c r="I376" s="61">
        <f>8.8089 * CHOOSE(CONTROL!$C$19, $C$13, 100%, $E$13)</f>
        <v>8.8088999999999995</v>
      </c>
      <c r="J376" s="61">
        <f>5.8238 * CHOOSE(CONTROL!$C$19, $C$13, 100%, $E$13)</f>
        <v>5.8238000000000003</v>
      </c>
      <c r="K376" s="61">
        <f>5.824 * CHOOSE(CONTROL!$C$19, $C$13, 100%, $E$13)</f>
        <v>5.8239999999999998</v>
      </c>
    </row>
    <row r="377" spans="1:11" ht="15">
      <c r="A377" s="13">
        <v>53328</v>
      </c>
      <c r="B377" s="60">
        <f>5.3175 * CHOOSE(CONTROL!$C$19, $C$13, 100%, $E$13)</f>
        <v>5.3174999999999999</v>
      </c>
      <c r="C377" s="60">
        <f>5.3175 * CHOOSE(CONTROL!$C$19, $C$13, 100%, $E$13)</f>
        <v>5.3174999999999999</v>
      </c>
      <c r="D377" s="60">
        <f>5.3327 * CHOOSE(CONTROL!$C$19, $C$13, 100%, $E$13)</f>
        <v>5.3327</v>
      </c>
      <c r="E377" s="61">
        <f>5.9129 * CHOOSE(CONTROL!$C$19, $C$13, 100%, $E$13)</f>
        <v>5.9128999999999996</v>
      </c>
      <c r="F377" s="61">
        <f>5.9129 * CHOOSE(CONTROL!$C$19, $C$13, 100%, $E$13)</f>
        <v>5.9128999999999996</v>
      </c>
      <c r="G377" s="61">
        <f>5.9131 * CHOOSE(CONTROL!$C$19, $C$13, 100%, $E$13)</f>
        <v>5.9131</v>
      </c>
      <c r="H377" s="61">
        <f>8.8271* CHOOSE(CONTROL!$C$19, $C$13, 100%, $E$13)</f>
        <v>8.8270999999999997</v>
      </c>
      <c r="I377" s="61">
        <f>8.8272 * CHOOSE(CONTROL!$C$19, $C$13, 100%, $E$13)</f>
        <v>8.8271999999999995</v>
      </c>
      <c r="J377" s="61">
        <f>5.9129 * CHOOSE(CONTROL!$C$19, $C$13, 100%, $E$13)</f>
        <v>5.9128999999999996</v>
      </c>
      <c r="K377" s="61">
        <f>5.9131 * CHOOSE(CONTROL!$C$19, $C$13, 100%, $E$13)</f>
        <v>5.9131</v>
      </c>
    </row>
    <row r="378" spans="1:11" ht="15">
      <c r="A378" s="13">
        <v>53359</v>
      </c>
      <c r="B378" s="60">
        <f>5.3145 * CHOOSE(CONTROL!$C$19, $C$13, 100%, $E$13)</f>
        <v>5.3144999999999998</v>
      </c>
      <c r="C378" s="60">
        <f>5.3145 * CHOOSE(CONTROL!$C$19, $C$13, 100%, $E$13)</f>
        <v>5.3144999999999998</v>
      </c>
      <c r="D378" s="60">
        <f>5.3297 * CHOOSE(CONTROL!$C$19, $C$13, 100%, $E$13)</f>
        <v>5.3296999999999999</v>
      </c>
      <c r="E378" s="61">
        <f>5.823 * CHOOSE(CONTROL!$C$19, $C$13, 100%, $E$13)</f>
        <v>5.8230000000000004</v>
      </c>
      <c r="F378" s="61">
        <f>5.823 * CHOOSE(CONTROL!$C$19, $C$13, 100%, $E$13)</f>
        <v>5.8230000000000004</v>
      </c>
      <c r="G378" s="61">
        <f>5.8232 * CHOOSE(CONTROL!$C$19, $C$13, 100%, $E$13)</f>
        <v>5.8231999999999999</v>
      </c>
      <c r="H378" s="61">
        <f>8.8455* CHOOSE(CONTROL!$C$19, $C$13, 100%, $E$13)</f>
        <v>8.8454999999999995</v>
      </c>
      <c r="I378" s="61">
        <f>8.8456 * CHOOSE(CONTROL!$C$19, $C$13, 100%, $E$13)</f>
        <v>8.8455999999999992</v>
      </c>
      <c r="J378" s="61">
        <f>5.823 * CHOOSE(CONTROL!$C$19, $C$13, 100%, $E$13)</f>
        <v>5.8230000000000004</v>
      </c>
      <c r="K378" s="61">
        <f>5.8232 * CHOOSE(CONTROL!$C$19, $C$13, 100%, $E$13)</f>
        <v>5.8231999999999999</v>
      </c>
    </row>
    <row r="379" spans="1:11" ht="15">
      <c r="A379" s="13">
        <v>53387</v>
      </c>
      <c r="B379" s="60">
        <f>5.3114 * CHOOSE(CONTROL!$C$19, $C$13, 100%, $E$13)</f>
        <v>5.3113999999999999</v>
      </c>
      <c r="C379" s="60">
        <f>5.3114 * CHOOSE(CONTROL!$C$19, $C$13, 100%, $E$13)</f>
        <v>5.3113999999999999</v>
      </c>
      <c r="D379" s="60">
        <f>5.3266 * CHOOSE(CONTROL!$C$19, $C$13, 100%, $E$13)</f>
        <v>5.3266</v>
      </c>
      <c r="E379" s="61">
        <f>5.8901 * CHOOSE(CONTROL!$C$19, $C$13, 100%, $E$13)</f>
        <v>5.8901000000000003</v>
      </c>
      <c r="F379" s="61">
        <f>5.8901 * CHOOSE(CONTROL!$C$19, $C$13, 100%, $E$13)</f>
        <v>5.8901000000000003</v>
      </c>
      <c r="G379" s="61">
        <f>5.8903 * CHOOSE(CONTROL!$C$19, $C$13, 100%, $E$13)</f>
        <v>5.8902999999999999</v>
      </c>
      <c r="H379" s="61">
        <f>8.8639* CHOOSE(CONTROL!$C$19, $C$13, 100%, $E$13)</f>
        <v>8.8638999999999992</v>
      </c>
      <c r="I379" s="61">
        <f>8.8641 * CHOOSE(CONTROL!$C$19, $C$13, 100%, $E$13)</f>
        <v>8.8641000000000005</v>
      </c>
      <c r="J379" s="61">
        <f>5.8901 * CHOOSE(CONTROL!$C$19, $C$13, 100%, $E$13)</f>
        <v>5.8901000000000003</v>
      </c>
      <c r="K379" s="61">
        <f>5.8903 * CHOOSE(CONTROL!$C$19, $C$13, 100%, $E$13)</f>
        <v>5.8902999999999999</v>
      </c>
    </row>
    <row r="380" spans="1:11" ht="15">
      <c r="A380" s="13">
        <v>53418</v>
      </c>
      <c r="B380" s="60">
        <f>5.3104 * CHOOSE(CONTROL!$C$19, $C$13, 100%, $E$13)</f>
        <v>5.3103999999999996</v>
      </c>
      <c r="C380" s="60">
        <f>5.3104 * CHOOSE(CONTROL!$C$19, $C$13, 100%, $E$13)</f>
        <v>5.3103999999999996</v>
      </c>
      <c r="D380" s="60">
        <f>5.3256 * CHOOSE(CONTROL!$C$19, $C$13, 100%, $E$13)</f>
        <v>5.3255999999999997</v>
      </c>
      <c r="E380" s="61">
        <f>5.9601 * CHOOSE(CONTROL!$C$19, $C$13, 100%, $E$13)</f>
        <v>5.9600999999999997</v>
      </c>
      <c r="F380" s="61">
        <f>5.9601 * CHOOSE(CONTROL!$C$19, $C$13, 100%, $E$13)</f>
        <v>5.9600999999999997</v>
      </c>
      <c r="G380" s="61">
        <f>5.9603 * CHOOSE(CONTROL!$C$19, $C$13, 100%, $E$13)</f>
        <v>5.9603000000000002</v>
      </c>
      <c r="H380" s="61">
        <f>8.8824* CHOOSE(CONTROL!$C$19, $C$13, 100%, $E$13)</f>
        <v>8.8824000000000005</v>
      </c>
      <c r="I380" s="61">
        <f>8.8825 * CHOOSE(CONTROL!$C$19, $C$13, 100%, $E$13)</f>
        <v>8.8825000000000003</v>
      </c>
      <c r="J380" s="61">
        <f>5.9601 * CHOOSE(CONTROL!$C$19, $C$13, 100%, $E$13)</f>
        <v>5.9600999999999997</v>
      </c>
      <c r="K380" s="61">
        <f>5.9603 * CHOOSE(CONTROL!$C$19, $C$13, 100%, $E$13)</f>
        <v>5.9603000000000002</v>
      </c>
    </row>
    <row r="381" spans="1:11" ht="15">
      <c r="A381" s="13">
        <v>53448</v>
      </c>
      <c r="B381" s="60">
        <f>5.3104 * CHOOSE(CONTROL!$C$19, $C$13, 100%, $E$13)</f>
        <v>5.3103999999999996</v>
      </c>
      <c r="C381" s="60">
        <f>5.3104 * CHOOSE(CONTROL!$C$19, $C$13, 100%, $E$13)</f>
        <v>5.3103999999999996</v>
      </c>
      <c r="D381" s="60">
        <f>5.3408 * CHOOSE(CONTROL!$C$19, $C$13, 100%, $E$13)</f>
        <v>5.3407999999999998</v>
      </c>
      <c r="E381" s="61">
        <f>5.988 * CHOOSE(CONTROL!$C$19, $C$13, 100%, $E$13)</f>
        <v>5.9880000000000004</v>
      </c>
      <c r="F381" s="61">
        <f>5.988 * CHOOSE(CONTROL!$C$19, $C$13, 100%, $E$13)</f>
        <v>5.9880000000000004</v>
      </c>
      <c r="G381" s="61">
        <f>5.9899 * CHOOSE(CONTROL!$C$19, $C$13, 100%, $E$13)</f>
        <v>5.9898999999999996</v>
      </c>
      <c r="H381" s="61">
        <f>8.9009* CHOOSE(CONTROL!$C$19, $C$13, 100%, $E$13)</f>
        <v>8.9009</v>
      </c>
      <c r="I381" s="61">
        <f>8.9028 * CHOOSE(CONTROL!$C$19, $C$13, 100%, $E$13)</f>
        <v>8.9027999999999992</v>
      </c>
      <c r="J381" s="61">
        <f>5.988 * CHOOSE(CONTROL!$C$19, $C$13, 100%, $E$13)</f>
        <v>5.9880000000000004</v>
      </c>
      <c r="K381" s="61">
        <f>5.9899 * CHOOSE(CONTROL!$C$19, $C$13, 100%, $E$13)</f>
        <v>5.9898999999999996</v>
      </c>
    </row>
    <row r="382" spans="1:11" ht="15">
      <c r="A382" s="13">
        <v>53479</v>
      </c>
      <c r="B382" s="60">
        <f>5.3165 * CHOOSE(CONTROL!$C$19, $C$13, 100%, $E$13)</f>
        <v>5.3164999999999996</v>
      </c>
      <c r="C382" s="60">
        <f>5.3165 * CHOOSE(CONTROL!$C$19, $C$13, 100%, $E$13)</f>
        <v>5.3164999999999996</v>
      </c>
      <c r="D382" s="60">
        <f>5.3469 * CHOOSE(CONTROL!$C$19, $C$13, 100%, $E$13)</f>
        <v>5.3468999999999998</v>
      </c>
      <c r="E382" s="61">
        <f>5.9644 * CHOOSE(CONTROL!$C$19, $C$13, 100%, $E$13)</f>
        <v>5.9644000000000004</v>
      </c>
      <c r="F382" s="61">
        <f>5.9644 * CHOOSE(CONTROL!$C$19, $C$13, 100%, $E$13)</f>
        <v>5.9644000000000004</v>
      </c>
      <c r="G382" s="61">
        <f>5.9663 * CHOOSE(CONTROL!$C$19, $C$13, 100%, $E$13)</f>
        <v>5.9663000000000004</v>
      </c>
      <c r="H382" s="61">
        <f>8.9194* CHOOSE(CONTROL!$C$19, $C$13, 100%, $E$13)</f>
        <v>8.9193999999999996</v>
      </c>
      <c r="I382" s="61">
        <f>8.9213 * CHOOSE(CONTROL!$C$19, $C$13, 100%, $E$13)</f>
        <v>8.9213000000000005</v>
      </c>
      <c r="J382" s="61">
        <f>5.9644 * CHOOSE(CONTROL!$C$19, $C$13, 100%, $E$13)</f>
        <v>5.9644000000000004</v>
      </c>
      <c r="K382" s="61">
        <f>5.9663 * CHOOSE(CONTROL!$C$19, $C$13, 100%, $E$13)</f>
        <v>5.9663000000000004</v>
      </c>
    </row>
    <row r="383" spans="1:11" ht="15">
      <c r="A383" s="13">
        <v>53509</v>
      </c>
      <c r="B383" s="60">
        <f>5.3987 * CHOOSE(CONTROL!$C$19, $C$13, 100%, $E$13)</f>
        <v>5.3986999999999998</v>
      </c>
      <c r="C383" s="60">
        <f>5.3987 * CHOOSE(CONTROL!$C$19, $C$13, 100%, $E$13)</f>
        <v>5.3986999999999998</v>
      </c>
      <c r="D383" s="60">
        <f>5.4291 * CHOOSE(CONTROL!$C$19, $C$13, 100%, $E$13)</f>
        <v>5.4291</v>
      </c>
      <c r="E383" s="61">
        <f>6.0796 * CHOOSE(CONTROL!$C$19, $C$13, 100%, $E$13)</f>
        <v>6.0796000000000001</v>
      </c>
      <c r="F383" s="61">
        <f>6.0796 * CHOOSE(CONTROL!$C$19, $C$13, 100%, $E$13)</f>
        <v>6.0796000000000001</v>
      </c>
      <c r="G383" s="61">
        <f>6.0815 * CHOOSE(CONTROL!$C$19, $C$13, 100%, $E$13)</f>
        <v>6.0815000000000001</v>
      </c>
      <c r="H383" s="61">
        <f>8.938* CHOOSE(CONTROL!$C$19, $C$13, 100%, $E$13)</f>
        <v>8.9380000000000006</v>
      </c>
      <c r="I383" s="61">
        <f>8.9399 * CHOOSE(CONTROL!$C$19, $C$13, 100%, $E$13)</f>
        <v>8.9398999999999997</v>
      </c>
      <c r="J383" s="61">
        <f>6.0796 * CHOOSE(CONTROL!$C$19, $C$13, 100%, $E$13)</f>
        <v>6.0796000000000001</v>
      </c>
      <c r="K383" s="61">
        <f>6.0815 * CHOOSE(CONTROL!$C$19, $C$13, 100%, $E$13)</f>
        <v>6.0815000000000001</v>
      </c>
    </row>
    <row r="384" spans="1:11" ht="15">
      <c r="A384" s="13">
        <v>53540</v>
      </c>
      <c r="B384" s="60">
        <f>5.4054 * CHOOSE(CONTROL!$C$19, $C$13, 100%, $E$13)</f>
        <v>5.4054000000000002</v>
      </c>
      <c r="C384" s="60">
        <f>5.4054 * CHOOSE(CONTROL!$C$19, $C$13, 100%, $E$13)</f>
        <v>5.4054000000000002</v>
      </c>
      <c r="D384" s="60">
        <f>5.4358 * CHOOSE(CONTROL!$C$19, $C$13, 100%, $E$13)</f>
        <v>5.4358000000000004</v>
      </c>
      <c r="E384" s="61">
        <f>6.0007 * CHOOSE(CONTROL!$C$19, $C$13, 100%, $E$13)</f>
        <v>6.0007000000000001</v>
      </c>
      <c r="F384" s="61">
        <f>6.0007 * CHOOSE(CONTROL!$C$19, $C$13, 100%, $E$13)</f>
        <v>6.0007000000000001</v>
      </c>
      <c r="G384" s="61">
        <f>6.0026 * CHOOSE(CONTROL!$C$19, $C$13, 100%, $E$13)</f>
        <v>6.0026000000000002</v>
      </c>
      <c r="H384" s="61">
        <f>8.9566* CHOOSE(CONTROL!$C$19, $C$13, 100%, $E$13)</f>
        <v>8.9565999999999999</v>
      </c>
      <c r="I384" s="61">
        <f>8.9585 * CHOOSE(CONTROL!$C$19, $C$13, 100%, $E$13)</f>
        <v>8.9585000000000008</v>
      </c>
      <c r="J384" s="61">
        <f>6.0007 * CHOOSE(CONTROL!$C$19, $C$13, 100%, $E$13)</f>
        <v>6.0007000000000001</v>
      </c>
      <c r="K384" s="61">
        <f>6.0026 * CHOOSE(CONTROL!$C$19, $C$13, 100%, $E$13)</f>
        <v>6.0026000000000002</v>
      </c>
    </row>
    <row r="385" spans="1:11" ht="15">
      <c r="A385" s="13">
        <v>53571</v>
      </c>
      <c r="B385" s="60">
        <f>5.4024 * CHOOSE(CONTROL!$C$19, $C$13, 100%, $E$13)</f>
        <v>5.4024000000000001</v>
      </c>
      <c r="C385" s="60">
        <f>5.4024 * CHOOSE(CONTROL!$C$19, $C$13, 100%, $E$13)</f>
        <v>5.4024000000000001</v>
      </c>
      <c r="D385" s="60">
        <f>5.4328 * CHOOSE(CONTROL!$C$19, $C$13, 100%, $E$13)</f>
        <v>5.4328000000000003</v>
      </c>
      <c r="E385" s="61">
        <f>5.9893 * CHOOSE(CONTROL!$C$19, $C$13, 100%, $E$13)</f>
        <v>5.9893000000000001</v>
      </c>
      <c r="F385" s="61">
        <f>5.9893 * CHOOSE(CONTROL!$C$19, $C$13, 100%, $E$13)</f>
        <v>5.9893000000000001</v>
      </c>
      <c r="G385" s="61">
        <f>5.9912 * CHOOSE(CONTROL!$C$19, $C$13, 100%, $E$13)</f>
        <v>5.9912000000000001</v>
      </c>
      <c r="H385" s="61">
        <f>8.9753* CHOOSE(CONTROL!$C$19, $C$13, 100%, $E$13)</f>
        <v>8.9753000000000007</v>
      </c>
      <c r="I385" s="61">
        <f>8.9772 * CHOOSE(CONTROL!$C$19, $C$13, 100%, $E$13)</f>
        <v>8.9771999999999998</v>
      </c>
      <c r="J385" s="61">
        <f>5.9893 * CHOOSE(CONTROL!$C$19, $C$13, 100%, $E$13)</f>
        <v>5.9893000000000001</v>
      </c>
      <c r="K385" s="61">
        <f>5.9912 * CHOOSE(CONTROL!$C$19, $C$13, 100%, $E$13)</f>
        <v>5.9912000000000001</v>
      </c>
    </row>
    <row r="386" spans="1:11" ht="15">
      <c r="A386" s="13">
        <v>53601</v>
      </c>
      <c r="B386" s="60">
        <f>5.4029 * CHOOSE(CONTROL!$C$19, $C$13, 100%, $E$13)</f>
        <v>5.4028999999999998</v>
      </c>
      <c r="C386" s="60">
        <f>5.4029 * CHOOSE(CONTROL!$C$19, $C$13, 100%, $E$13)</f>
        <v>5.4028999999999998</v>
      </c>
      <c r="D386" s="60">
        <f>5.4181 * CHOOSE(CONTROL!$C$19, $C$13, 100%, $E$13)</f>
        <v>5.4180999999999999</v>
      </c>
      <c r="E386" s="61">
        <f>6.013 * CHOOSE(CONTROL!$C$19, $C$13, 100%, $E$13)</f>
        <v>6.0129999999999999</v>
      </c>
      <c r="F386" s="61">
        <f>6.013 * CHOOSE(CONTROL!$C$19, $C$13, 100%, $E$13)</f>
        <v>6.0129999999999999</v>
      </c>
      <c r="G386" s="61">
        <f>6.0132 * CHOOSE(CONTROL!$C$19, $C$13, 100%, $E$13)</f>
        <v>6.0132000000000003</v>
      </c>
      <c r="H386" s="61">
        <f>8.994* CHOOSE(CONTROL!$C$19, $C$13, 100%, $E$13)</f>
        <v>8.9939999999999998</v>
      </c>
      <c r="I386" s="61">
        <f>8.9941 * CHOOSE(CONTROL!$C$19, $C$13, 100%, $E$13)</f>
        <v>8.9940999999999995</v>
      </c>
      <c r="J386" s="61">
        <f>6.013 * CHOOSE(CONTROL!$C$19, $C$13, 100%, $E$13)</f>
        <v>6.0129999999999999</v>
      </c>
      <c r="K386" s="61">
        <f>6.0132 * CHOOSE(CONTROL!$C$19, $C$13, 100%, $E$13)</f>
        <v>6.0132000000000003</v>
      </c>
    </row>
    <row r="387" spans="1:11" ht="15">
      <c r="A387" s="13">
        <v>53632</v>
      </c>
      <c r="B387" s="60">
        <f>5.4059 * CHOOSE(CONTROL!$C$19, $C$13, 100%, $E$13)</f>
        <v>5.4058999999999999</v>
      </c>
      <c r="C387" s="60">
        <f>5.4059 * CHOOSE(CONTROL!$C$19, $C$13, 100%, $E$13)</f>
        <v>5.4058999999999999</v>
      </c>
      <c r="D387" s="60">
        <f>5.4211 * CHOOSE(CONTROL!$C$19, $C$13, 100%, $E$13)</f>
        <v>5.4211</v>
      </c>
      <c r="E387" s="61">
        <f>6.0337 * CHOOSE(CONTROL!$C$19, $C$13, 100%, $E$13)</f>
        <v>6.0336999999999996</v>
      </c>
      <c r="F387" s="61">
        <f>6.0337 * CHOOSE(CONTROL!$C$19, $C$13, 100%, $E$13)</f>
        <v>6.0336999999999996</v>
      </c>
      <c r="G387" s="61">
        <f>6.0339 * CHOOSE(CONTROL!$C$19, $C$13, 100%, $E$13)</f>
        <v>6.0339</v>
      </c>
      <c r="H387" s="61">
        <f>9.0127* CHOOSE(CONTROL!$C$19, $C$13, 100%, $E$13)</f>
        <v>9.0127000000000006</v>
      </c>
      <c r="I387" s="61">
        <f>9.0129 * CHOOSE(CONTROL!$C$19, $C$13, 100%, $E$13)</f>
        <v>9.0129000000000001</v>
      </c>
      <c r="J387" s="61">
        <f>6.0337 * CHOOSE(CONTROL!$C$19, $C$13, 100%, $E$13)</f>
        <v>6.0336999999999996</v>
      </c>
      <c r="K387" s="61">
        <f>6.0339 * CHOOSE(CONTROL!$C$19, $C$13, 100%, $E$13)</f>
        <v>6.0339</v>
      </c>
    </row>
    <row r="388" spans="1:11" ht="15">
      <c r="A388" s="13">
        <v>53662</v>
      </c>
      <c r="B388" s="60">
        <f>5.4059 * CHOOSE(CONTROL!$C$19, $C$13, 100%, $E$13)</f>
        <v>5.4058999999999999</v>
      </c>
      <c r="C388" s="60">
        <f>5.4059 * CHOOSE(CONTROL!$C$19, $C$13, 100%, $E$13)</f>
        <v>5.4058999999999999</v>
      </c>
      <c r="D388" s="60">
        <f>5.4211 * CHOOSE(CONTROL!$C$19, $C$13, 100%, $E$13)</f>
        <v>5.4211</v>
      </c>
      <c r="E388" s="61">
        <f>5.9872 * CHOOSE(CONTROL!$C$19, $C$13, 100%, $E$13)</f>
        <v>5.9871999999999996</v>
      </c>
      <c r="F388" s="61">
        <f>5.9872 * CHOOSE(CONTROL!$C$19, $C$13, 100%, $E$13)</f>
        <v>5.9871999999999996</v>
      </c>
      <c r="G388" s="61">
        <f>5.9874 * CHOOSE(CONTROL!$C$19, $C$13, 100%, $E$13)</f>
        <v>5.9874000000000001</v>
      </c>
      <c r="H388" s="61">
        <f>9.0315* CHOOSE(CONTROL!$C$19, $C$13, 100%, $E$13)</f>
        <v>9.0314999999999994</v>
      </c>
      <c r="I388" s="61">
        <f>9.0317 * CHOOSE(CONTROL!$C$19, $C$13, 100%, $E$13)</f>
        <v>9.0317000000000007</v>
      </c>
      <c r="J388" s="61">
        <f>5.9872 * CHOOSE(CONTROL!$C$19, $C$13, 100%, $E$13)</f>
        <v>5.9871999999999996</v>
      </c>
      <c r="K388" s="61">
        <f>5.9874 * CHOOSE(CONTROL!$C$19, $C$13, 100%, $E$13)</f>
        <v>5.9874000000000001</v>
      </c>
    </row>
    <row r="389" spans="1:11" ht="15">
      <c r="A389" s="13">
        <v>53693</v>
      </c>
      <c r="B389" s="60">
        <f>5.4524 * CHOOSE(CONTROL!$C$19, $C$13, 100%, $E$13)</f>
        <v>5.4523999999999999</v>
      </c>
      <c r="C389" s="60">
        <f>5.4524 * CHOOSE(CONTROL!$C$19, $C$13, 100%, $E$13)</f>
        <v>5.4523999999999999</v>
      </c>
      <c r="D389" s="60">
        <f>5.4676 * CHOOSE(CONTROL!$C$19, $C$13, 100%, $E$13)</f>
        <v>5.4676</v>
      </c>
      <c r="E389" s="61">
        <f>6.0789 * CHOOSE(CONTROL!$C$19, $C$13, 100%, $E$13)</f>
        <v>6.0789</v>
      </c>
      <c r="F389" s="61">
        <f>6.0789 * CHOOSE(CONTROL!$C$19, $C$13, 100%, $E$13)</f>
        <v>6.0789</v>
      </c>
      <c r="G389" s="61">
        <f>6.079 * CHOOSE(CONTROL!$C$19, $C$13, 100%, $E$13)</f>
        <v>6.0789999999999997</v>
      </c>
      <c r="H389" s="61">
        <f>9.0503* CHOOSE(CONTROL!$C$19, $C$13, 100%, $E$13)</f>
        <v>9.0503</v>
      </c>
      <c r="I389" s="61">
        <f>9.0505 * CHOOSE(CONTROL!$C$19, $C$13, 100%, $E$13)</f>
        <v>9.0504999999999995</v>
      </c>
      <c r="J389" s="61">
        <f>6.0789 * CHOOSE(CONTROL!$C$19, $C$13, 100%, $E$13)</f>
        <v>6.0789</v>
      </c>
      <c r="K389" s="61">
        <f>6.079 * CHOOSE(CONTROL!$C$19, $C$13, 100%, $E$13)</f>
        <v>6.0789999999999997</v>
      </c>
    </row>
    <row r="390" spans="1:11" ht="15">
      <c r="A390" s="13">
        <v>53724</v>
      </c>
      <c r="B390" s="60">
        <f>5.4494 * CHOOSE(CONTROL!$C$19, $C$13, 100%, $E$13)</f>
        <v>5.4493999999999998</v>
      </c>
      <c r="C390" s="60">
        <f>5.4494 * CHOOSE(CONTROL!$C$19, $C$13, 100%, $E$13)</f>
        <v>5.4493999999999998</v>
      </c>
      <c r="D390" s="60">
        <f>5.4646 * CHOOSE(CONTROL!$C$19, $C$13, 100%, $E$13)</f>
        <v>5.4645999999999999</v>
      </c>
      <c r="E390" s="61">
        <f>5.9862 * CHOOSE(CONTROL!$C$19, $C$13, 100%, $E$13)</f>
        <v>5.9862000000000002</v>
      </c>
      <c r="F390" s="61">
        <f>5.9862 * CHOOSE(CONTROL!$C$19, $C$13, 100%, $E$13)</f>
        <v>5.9862000000000002</v>
      </c>
      <c r="G390" s="61">
        <f>5.9864 * CHOOSE(CONTROL!$C$19, $C$13, 100%, $E$13)</f>
        <v>5.9863999999999997</v>
      </c>
      <c r="H390" s="61">
        <f>9.0691* CHOOSE(CONTROL!$C$19, $C$13, 100%, $E$13)</f>
        <v>9.0691000000000006</v>
      </c>
      <c r="I390" s="61">
        <f>9.0693 * CHOOSE(CONTROL!$C$19, $C$13, 100%, $E$13)</f>
        <v>9.0693000000000001</v>
      </c>
      <c r="J390" s="61">
        <f>5.9862 * CHOOSE(CONTROL!$C$19, $C$13, 100%, $E$13)</f>
        <v>5.9862000000000002</v>
      </c>
      <c r="K390" s="61">
        <f>5.9864 * CHOOSE(CONTROL!$C$19, $C$13, 100%, $E$13)</f>
        <v>5.9863999999999997</v>
      </c>
    </row>
    <row r="391" spans="1:11" ht="15">
      <c r="A391" s="13">
        <v>53752</v>
      </c>
      <c r="B391" s="60">
        <f>5.4464 * CHOOSE(CONTROL!$C$19, $C$13, 100%, $E$13)</f>
        <v>5.4463999999999997</v>
      </c>
      <c r="C391" s="60">
        <f>5.4464 * CHOOSE(CONTROL!$C$19, $C$13, 100%, $E$13)</f>
        <v>5.4463999999999997</v>
      </c>
      <c r="D391" s="60">
        <f>5.4616 * CHOOSE(CONTROL!$C$19, $C$13, 100%, $E$13)</f>
        <v>5.4615999999999998</v>
      </c>
      <c r="E391" s="61">
        <f>6.0555 * CHOOSE(CONTROL!$C$19, $C$13, 100%, $E$13)</f>
        <v>6.0555000000000003</v>
      </c>
      <c r="F391" s="61">
        <f>6.0555 * CHOOSE(CONTROL!$C$19, $C$13, 100%, $E$13)</f>
        <v>6.0555000000000003</v>
      </c>
      <c r="G391" s="61">
        <f>6.0556 * CHOOSE(CONTROL!$C$19, $C$13, 100%, $E$13)</f>
        <v>6.0556000000000001</v>
      </c>
      <c r="H391" s="61">
        <f>9.088* CHOOSE(CONTROL!$C$19, $C$13, 100%, $E$13)</f>
        <v>9.0879999999999992</v>
      </c>
      <c r="I391" s="61">
        <f>9.0882 * CHOOSE(CONTROL!$C$19, $C$13, 100%, $E$13)</f>
        <v>9.0882000000000005</v>
      </c>
      <c r="J391" s="61">
        <f>6.0555 * CHOOSE(CONTROL!$C$19, $C$13, 100%, $E$13)</f>
        <v>6.0555000000000003</v>
      </c>
      <c r="K391" s="61">
        <f>6.0556 * CHOOSE(CONTROL!$C$19, $C$13, 100%, $E$13)</f>
        <v>6.0556000000000001</v>
      </c>
    </row>
    <row r="392" spans="1:11" ht="15">
      <c r="A392" s="13">
        <v>53783</v>
      </c>
      <c r="B392" s="60">
        <f>5.4455 * CHOOSE(CONTROL!$C$19, $C$13, 100%, $E$13)</f>
        <v>5.4455</v>
      </c>
      <c r="C392" s="60">
        <f>5.4455 * CHOOSE(CONTROL!$C$19, $C$13, 100%, $E$13)</f>
        <v>5.4455</v>
      </c>
      <c r="D392" s="60">
        <f>5.4607 * CHOOSE(CONTROL!$C$19, $C$13, 100%, $E$13)</f>
        <v>5.4607000000000001</v>
      </c>
      <c r="E392" s="61">
        <f>6.1279 * CHOOSE(CONTROL!$C$19, $C$13, 100%, $E$13)</f>
        <v>6.1279000000000003</v>
      </c>
      <c r="F392" s="61">
        <f>6.1279 * CHOOSE(CONTROL!$C$19, $C$13, 100%, $E$13)</f>
        <v>6.1279000000000003</v>
      </c>
      <c r="G392" s="61">
        <f>6.1281 * CHOOSE(CONTROL!$C$19, $C$13, 100%, $E$13)</f>
        <v>6.1280999999999999</v>
      </c>
      <c r="H392" s="61">
        <f>9.107* CHOOSE(CONTROL!$C$19, $C$13, 100%, $E$13)</f>
        <v>9.1069999999999993</v>
      </c>
      <c r="I392" s="61">
        <f>9.1071 * CHOOSE(CONTROL!$C$19, $C$13, 100%, $E$13)</f>
        <v>9.1071000000000009</v>
      </c>
      <c r="J392" s="61">
        <f>6.1279 * CHOOSE(CONTROL!$C$19, $C$13, 100%, $E$13)</f>
        <v>6.1279000000000003</v>
      </c>
      <c r="K392" s="61">
        <f>6.1281 * CHOOSE(CONTROL!$C$19, $C$13, 100%, $E$13)</f>
        <v>6.1280999999999999</v>
      </c>
    </row>
    <row r="393" spans="1:11" ht="15">
      <c r="A393" s="13">
        <v>53813</v>
      </c>
      <c r="B393" s="60">
        <f>5.4455 * CHOOSE(CONTROL!$C$19, $C$13, 100%, $E$13)</f>
        <v>5.4455</v>
      </c>
      <c r="C393" s="60">
        <f>5.4455 * CHOOSE(CONTROL!$C$19, $C$13, 100%, $E$13)</f>
        <v>5.4455</v>
      </c>
      <c r="D393" s="60">
        <f>5.4758 * CHOOSE(CONTROL!$C$19, $C$13, 100%, $E$13)</f>
        <v>5.4757999999999996</v>
      </c>
      <c r="E393" s="61">
        <f>6.1566 * CHOOSE(CONTROL!$C$19, $C$13, 100%, $E$13)</f>
        <v>6.1566000000000001</v>
      </c>
      <c r="F393" s="61">
        <f>6.1566 * CHOOSE(CONTROL!$C$19, $C$13, 100%, $E$13)</f>
        <v>6.1566000000000001</v>
      </c>
      <c r="G393" s="61">
        <f>6.1585 * CHOOSE(CONTROL!$C$19, $C$13, 100%, $E$13)</f>
        <v>6.1585000000000001</v>
      </c>
      <c r="H393" s="61">
        <f>9.1259* CHOOSE(CONTROL!$C$19, $C$13, 100%, $E$13)</f>
        <v>9.1258999999999997</v>
      </c>
      <c r="I393" s="61">
        <f>9.1278 * CHOOSE(CONTROL!$C$19, $C$13, 100%, $E$13)</f>
        <v>9.1278000000000006</v>
      </c>
      <c r="J393" s="61">
        <f>6.1566 * CHOOSE(CONTROL!$C$19, $C$13, 100%, $E$13)</f>
        <v>6.1566000000000001</v>
      </c>
      <c r="K393" s="61">
        <f>6.1585 * CHOOSE(CONTROL!$C$19, $C$13, 100%, $E$13)</f>
        <v>6.1585000000000001</v>
      </c>
    </row>
    <row r="394" spans="1:11" ht="15">
      <c r="A394" s="13">
        <v>53844</v>
      </c>
      <c r="B394" s="60">
        <f>5.4516 * CHOOSE(CONTROL!$C$19, $C$13, 100%, $E$13)</f>
        <v>5.4516</v>
      </c>
      <c r="C394" s="60">
        <f>5.4516 * CHOOSE(CONTROL!$C$19, $C$13, 100%, $E$13)</f>
        <v>5.4516</v>
      </c>
      <c r="D394" s="60">
        <f>5.4819 * CHOOSE(CONTROL!$C$19, $C$13, 100%, $E$13)</f>
        <v>5.4819000000000004</v>
      </c>
      <c r="E394" s="61">
        <f>6.1321 * CHOOSE(CONTROL!$C$19, $C$13, 100%, $E$13)</f>
        <v>6.1321000000000003</v>
      </c>
      <c r="F394" s="61">
        <f>6.1321 * CHOOSE(CONTROL!$C$19, $C$13, 100%, $E$13)</f>
        <v>6.1321000000000003</v>
      </c>
      <c r="G394" s="61">
        <f>6.134 * CHOOSE(CONTROL!$C$19, $C$13, 100%, $E$13)</f>
        <v>6.1340000000000003</v>
      </c>
      <c r="H394" s="61">
        <f>9.145* CHOOSE(CONTROL!$C$19, $C$13, 100%, $E$13)</f>
        <v>9.1449999999999996</v>
      </c>
      <c r="I394" s="61">
        <f>9.1469 * CHOOSE(CONTROL!$C$19, $C$13, 100%, $E$13)</f>
        <v>9.1469000000000005</v>
      </c>
      <c r="J394" s="61">
        <f>6.1321 * CHOOSE(CONTROL!$C$19, $C$13, 100%, $E$13)</f>
        <v>6.1321000000000003</v>
      </c>
      <c r="K394" s="61">
        <f>6.134 * CHOOSE(CONTROL!$C$19, $C$13, 100%, $E$13)</f>
        <v>6.1340000000000003</v>
      </c>
    </row>
    <row r="395" spans="1:11" ht="15">
      <c r="A395" s="13">
        <v>53874</v>
      </c>
      <c r="B395" s="60">
        <f>5.5355 * CHOOSE(CONTROL!$C$19, $C$13, 100%, $E$13)</f>
        <v>5.5354999999999999</v>
      </c>
      <c r="C395" s="60">
        <f>5.5355 * CHOOSE(CONTROL!$C$19, $C$13, 100%, $E$13)</f>
        <v>5.5354999999999999</v>
      </c>
      <c r="D395" s="60">
        <f>5.5658 * CHOOSE(CONTROL!$C$19, $C$13, 100%, $E$13)</f>
        <v>5.5658000000000003</v>
      </c>
      <c r="E395" s="61">
        <f>6.2503 * CHOOSE(CONTROL!$C$19, $C$13, 100%, $E$13)</f>
        <v>6.2503000000000002</v>
      </c>
      <c r="F395" s="61">
        <f>6.2503 * CHOOSE(CONTROL!$C$19, $C$13, 100%, $E$13)</f>
        <v>6.2503000000000002</v>
      </c>
      <c r="G395" s="61">
        <f>6.2522 * CHOOSE(CONTROL!$C$19, $C$13, 100%, $E$13)</f>
        <v>6.2522000000000002</v>
      </c>
      <c r="H395" s="61">
        <f>9.164* CHOOSE(CONTROL!$C$19, $C$13, 100%, $E$13)</f>
        <v>9.1639999999999997</v>
      </c>
      <c r="I395" s="61">
        <f>9.1659 * CHOOSE(CONTROL!$C$19, $C$13, 100%, $E$13)</f>
        <v>9.1659000000000006</v>
      </c>
      <c r="J395" s="61">
        <f>6.2503 * CHOOSE(CONTROL!$C$19, $C$13, 100%, $E$13)</f>
        <v>6.2503000000000002</v>
      </c>
      <c r="K395" s="61">
        <f>6.2522 * CHOOSE(CONTROL!$C$19, $C$13, 100%, $E$13)</f>
        <v>6.2522000000000002</v>
      </c>
    </row>
    <row r="396" spans="1:11" ht="15">
      <c r="A396" s="13">
        <v>53905</v>
      </c>
      <c r="B396" s="60">
        <f>5.5422 * CHOOSE(CONTROL!$C$19, $C$13, 100%, $E$13)</f>
        <v>5.5422000000000002</v>
      </c>
      <c r="C396" s="60">
        <f>5.5422 * CHOOSE(CONTROL!$C$19, $C$13, 100%, $E$13)</f>
        <v>5.5422000000000002</v>
      </c>
      <c r="D396" s="60">
        <f>5.5725 * CHOOSE(CONTROL!$C$19, $C$13, 100%, $E$13)</f>
        <v>5.5724999999999998</v>
      </c>
      <c r="E396" s="61">
        <f>6.1687 * CHOOSE(CONTROL!$C$19, $C$13, 100%, $E$13)</f>
        <v>6.1687000000000003</v>
      </c>
      <c r="F396" s="61">
        <f>6.1687 * CHOOSE(CONTROL!$C$19, $C$13, 100%, $E$13)</f>
        <v>6.1687000000000003</v>
      </c>
      <c r="G396" s="61">
        <f>6.1706 * CHOOSE(CONTROL!$C$19, $C$13, 100%, $E$13)</f>
        <v>6.1706000000000003</v>
      </c>
      <c r="H396" s="61">
        <f>9.1831* CHOOSE(CONTROL!$C$19, $C$13, 100%, $E$13)</f>
        <v>9.1830999999999996</v>
      </c>
      <c r="I396" s="61">
        <f>9.185 * CHOOSE(CONTROL!$C$19, $C$13, 100%, $E$13)</f>
        <v>9.1850000000000005</v>
      </c>
      <c r="J396" s="61">
        <f>6.1687 * CHOOSE(CONTROL!$C$19, $C$13, 100%, $E$13)</f>
        <v>6.1687000000000003</v>
      </c>
      <c r="K396" s="61">
        <f>6.1706 * CHOOSE(CONTROL!$C$19, $C$13, 100%, $E$13)</f>
        <v>6.1706000000000003</v>
      </c>
    </row>
    <row r="397" spans="1:11" ht="15">
      <c r="A397" s="13">
        <v>53936</v>
      </c>
      <c r="B397" s="60">
        <f>5.5391 * CHOOSE(CONTROL!$C$19, $C$13, 100%, $E$13)</f>
        <v>5.5391000000000004</v>
      </c>
      <c r="C397" s="60">
        <f>5.5391 * CHOOSE(CONTROL!$C$19, $C$13, 100%, $E$13)</f>
        <v>5.5391000000000004</v>
      </c>
      <c r="D397" s="60">
        <f>5.5695 * CHOOSE(CONTROL!$C$19, $C$13, 100%, $E$13)</f>
        <v>5.5694999999999997</v>
      </c>
      <c r="E397" s="61">
        <f>6.157 * CHOOSE(CONTROL!$C$19, $C$13, 100%, $E$13)</f>
        <v>6.157</v>
      </c>
      <c r="F397" s="61">
        <f>6.157 * CHOOSE(CONTROL!$C$19, $C$13, 100%, $E$13)</f>
        <v>6.157</v>
      </c>
      <c r="G397" s="61">
        <f>6.1589 * CHOOSE(CONTROL!$C$19, $C$13, 100%, $E$13)</f>
        <v>6.1589</v>
      </c>
      <c r="H397" s="61">
        <f>9.2022* CHOOSE(CONTROL!$C$19, $C$13, 100%, $E$13)</f>
        <v>9.2021999999999995</v>
      </c>
      <c r="I397" s="61">
        <f>9.2041 * CHOOSE(CONTROL!$C$19, $C$13, 100%, $E$13)</f>
        <v>9.2041000000000004</v>
      </c>
      <c r="J397" s="61">
        <f>6.157 * CHOOSE(CONTROL!$C$19, $C$13, 100%, $E$13)</f>
        <v>6.157</v>
      </c>
      <c r="K397" s="61">
        <f>6.1589 * CHOOSE(CONTROL!$C$19, $C$13, 100%, $E$13)</f>
        <v>6.1589</v>
      </c>
    </row>
    <row r="398" spans="1:11" ht="15">
      <c r="A398" s="13">
        <v>53966</v>
      </c>
      <c r="B398" s="60">
        <f>5.5401 * CHOOSE(CONTROL!$C$19, $C$13, 100%, $E$13)</f>
        <v>5.5400999999999998</v>
      </c>
      <c r="C398" s="60">
        <f>5.5401 * CHOOSE(CONTROL!$C$19, $C$13, 100%, $E$13)</f>
        <v>5.5400999999999998</v>
      </c>
      <c r="D398" s="60">
        <f>5.5553 * CHOOSE(CONTROL!$C$19, $C$13, 100%, $E$13)</f>
        <v>5.5552999999999999</v>
      </c>
      <c r="E398" s="61">
        <f>6.1819 * CHOOSE(CONTROL!$C$19, $C$13, 100%, $E$13)</f>
        <v>6.1818999999999997</v>
      </c>
      <c r="F398" s="61">
        <f>6.1819 * CHOOSE(CONTROL!$C$19, $C$13, 100%, $E$13)</f>
        <v>6.1818999999999997</v>
      </c>
      <c r="G398" s="61">
        <f>6.1821 * CHOOSE(CONTROL!$C$19, $C$13, 100%, $E$13)</f>
        <v>6.1821000000000002</v>
      </c>
      <c r="H398" s="61">
        <f>9.2214* CHOOSE(CONTROL!$C$19, $C$13, 100%, $E$13)</f>
        <v>9.2213999999999992</v>
      </c>
      <c r="I398" s="61">
        <f>9.2216 * CHOOSE(CONTROL!$C$19, $C$13, 100%, $E$13)</f>
        <v>9.2216000000000005</v>
      </c>
      <c r="J398" s="61">
        <f>6.1819 * CHOOSE(CONTROL!$C$19, $C$13, 100%, $E$13)</f>
        <v>6.1818999999999997</v>
      </c>
      <c r="K398" s="61">
        <f>6.1821 * CHOOSE(CONTROL!$C$19, $C$13, 100%, $E$13)</f>
        <v>6.1821000000000002</v>
      </c>
    </row>
    <row r="399" spans="1:11" ht="15">
      <c r="A399" s="13">
        <v>53997</v>
      </c>
      <c r="B399" s="60">
        <f>5.5432 * CHOOSE(CONTROL!$C$19, $C$13, 100%, $E$13)</f>
        <v>5.5431999999999997</v>
      </c>
      <c r="C399" s="60">
        <f>5.5432 * CHOOSE(CONTROL!$C$19, $C$13, 100%, $E$13)</f>
        <v>5.5431999999999997</v>
      </c>
      <c r="D399" s="60">
        <f>5.5583 * CHOOSE(CONTROL!$C$19, $C$13, 100%, $E$13)</f>
        <v>5.5583</v>
      </c>
      <c r="E399" s="61">
        <f>6.2032 * CHOOSE(CONTROL!$C$19, $C$13, 100%, $E$13)</f>
        <v>6.2031999999999998</v>
      </c>
      <c r="F399" s="61">
        <f>6.2032 * CHOOSE(CONTROL!$C$19, $C$13, 100%, $E$13)</f>
        <v>6.2031999999999998</v>
      </c>
      <c r="G399" s="61">
        <f>6.2034 * CHOOSE(CONTROL!$C$19, $C$13, 100%, $E$13)</f>
        <v>6.2034000000000002</v>
      </c>
      <c r="H399" s="61">
        <f>9.2406* CHOOSE(CONTROL!$C$19, $C$13, 100%, $E$13)</f>
        <v>9.2406000000000006</v>
      </c>
      <c r="I399" s="61">
        <f>9.2408 * CHOOSE(CONTROL!$C$19, $C$13, 100%, $E$13)</f>
        <v>9.2408000000000001</v>
      </c>
      <c r="J399" s="61">
        <f>6.2032 * CHOOSE(CONTROL!$C$19, $C$13, 100%, $E$13)</f>
        <v>6.2031999999999998</v>
      </c>
      <c r="K399" s="61">
        <f>6.2034 * CHOOSE(CONTROL!$C$19, $C$13, 100%, $E$13)</f>
        <v>6.2034000000000002</v>
      </c>
    </row>
    <row r="400" spans="1:11" ht="15">
      <c r="A400" s="13">
        <v>54027</v>
      </c>
      <c r="B400" s="60">
        <f>5.5432 * CHOOSE(CONTROL!$C$19, $C$13, 100%, $E$13)</f>
        <v>5.5431999999999997</v>
      </c>
      <c r="C400" s="60">
        <f>5.5432 * CHOOSE(CONTROL!$C$19, $C$13, 100%, $E$13)</f>
        <v>5.5431999999999997</v>
      </c>
      <c r="D400" s="60">
        <f>5.5583 * CHOOSE(CONTROL!$C$19, $C$13, 100%, $E$13)</f>
        <v>5.5583</v>
      </c>
      <c r="E400" s="61">
        <f>6.1553 * CHOOSE(CONTROL!$C$19, $C$13, 100%, $E$13)</f>
        <v>6.1553000000000004</v>
      </c>
      <c r="F400" s="61">
        <f>6.1553 * CHOOSE(CONTROL!$C$19, $C$13, 100%, $E$13)</f>
        <v>6.1553000000000004</v>
      </c>
      <c r="G400" s="61">
        <f>6.1554 * CHOOSE(CONTROL!$C$19, $C$13, 100%, $E$13)</f>
        <v>6.1554000000000002</v>
      </c>
      <c r="H400" s="61">
        <f>9.2599* CHOOSE(CONTROL!$C$19, $C$13, 100%, $E$13)</f>
        <v>9.2599</v>
      </c>
      <c r="I400" s="61">
        <f>9.26 * CHOOSE(CONTROL!$C$19, $C$13, 100%, $E$13)</f>
        <v>9.26</v>
      </c>
      <c r="J400" s="61">
        <f>6.1553 * CHOOSE(CONTROL!$C$19, $C$13, 100%, $E$13)</f>
        <v>6.1553000000000004</v>
      </c>
      <c r="K400" s="61">
        <f>6.1554 * CHOOSE(CONTROL!$C$19, $C$13, 100%, $E$13)</f>
        <v>6.1554000000000002</v>
      </c>
    </row>
    <row r="401" spans="1:11" ht="15">
      <c r="A401" s="13">
        <v>54058</v>
      </c>
      <c r="B401" s="60">
        <f>5.5908 * CHOOSE(CONTROL!$C$19, $C$13, 100%, $E$13)</f>
        <v>5.5907999999999998</v>
      </c>
      <c r="C401" s="60">
        <f>5.5908 * CHOOSE(CONTROL!$C$19, $C$13, 100%, $E$13)</f>
        <v>5.5907999999999998</v>
      </c>
      <c r="D401" s="60">
        <f>5.606 * CHOOSE(CONTROL!$C$19, $C$13, 100%, $E$13)</f>
        <v>5.6059999999999999</v>
      </c>
      <c r="E401" s="61">
        <f>6.2495 * CHOOSE(CONTROL!$C$19, $C$13, 100%, $E$13)</f>
        <v>6.2495000000000003</v>
      </c>
      <c r="F401" s="61">
        <f>6.2495 * CHOOSE(CONTROL!$C$19, $C$13, 100%, $E$13)</f>
        <v>6.2495000000000003</v>
      </c>
      <c r="G401" s="61">
        <f>6.2497 * CHOOSE(CONTROL!$C$19, $C$13, 100%, $E$13)</f>
        <v>6.2496999999999998</v>
      </c>
      <c r="H401" s="61">
        <f>9.2792* CHOOSE(CONTROL!$C$19, $C$13, 100%, $E$13)</f>
        <v>9.2791999999999994</v>
      </c>
      <c r="I401" s="61">
        <f>9.2793 * CHOOSE(CONTROL!$C$19, $C$13, 100%, $E$13)</f>
        <v>9.2792999999999992</v>
      </c>
      <c r="J401" s="61">
        <f>6.2495 * CHOOSE(CONTROL!$C$19, $C$13, 100%, $E$13)</f>
        <v>6.2495000000000003</v>
      </c>
      <c r="K401" s="61">
        <f>6.2497 * CHOOSE(CONTROL!$C$19, $C$13, 100%, $E$13)</f>
        <v>6.2496999999999998</v>
      </c>
    </row>
    <row r="402" spans="1:11" ht="15">
      <c r="A402" s="13">
        <v>54089</v>
      </c>
      <c r="B402" s="60">
        <f>5.5877 * CHOOSE(CONTROL!$C$19, $C$13, 100%, $E$13)</f>
        <v>5.5876999999999999</v>
      </c>
      <c r="C402" s="60">
        <f>5.5877 * CHOOSE(CONTROL!$C$19, $C$13, 100%, $E$13)</f>
        <v>5.5876999999999999</v>
      </c>
      <c r="D402" s="60">
        <f>5.6029 * CHOOSE(CONTROL!$C$19, $C$13, 100%, $E$13)</f>
        <v>5.6029</v>
      </c>
      <c r="E402" s="61">
        <f>6.154 * CHOOSE(CONTROL!$C$19, $C$13, 100%, $E$13)</f>
        <v>6.1539999999999999</v>
      </c>
      <c r="F402" s="61">
        <f>6.154 * CHOOSE(CONTROL!$C$19, $C$13, 100%, $E$13)</f>
        <v>6.1539999999999999</v>
      </c>
      <c r="G402" s="61">
        <f>6.1541 * CHOOSE(CONTROL!$C$19, $C$13, 100%, $E$13)</f>
        <v>6.1540999999999997</v>
      </c>
      <c r="H402" s="61">
        <f>9.2985* CHOOSE(CONTROL!$C$19, $C$13, 100%, $E$13)</f>
        <v>9.2985000000000007</v>
      </c>
      <c r="I402" s="61">
        <f>9.2987 * CHOOSE(CONTROL!$C$19, $C$13, 100%, $E$13)</f>
        <v>9.2987000000000002</v>
      </c>
      <c r="J402" s="61">
        <f>6.154 * CHOOSE(CONTROL!$C$19, $C$13, 100%, $E$13)</f>
        <v>6.1539999999999999</v>
      </c>
      <c r="K402" s="61">
        <f>6.1541 * CHOOSE(CONTROL!$C$19, $C$13, 100%, $E$13)</f>
        <v>6.1540999999999997</v>
      </c>
    </row>
    <row r="403" spans="1:11" ht="15">
      <c r="A403" s="13">
        <v>54118</v>
      </c>
      <c r="B403" s="60">
        <f>5.5847 * CHOOSE(CONTROL!$C$19, $C$13, 100%, $E$13)</f>
        <v>5.5846999999999998</v>
      </c>
      <c r="C403" s="60">
        <f>5.5847 * CHOOSE(CONTROL!$C$19, $C$13, 100%, $E$13)</f>
        <v>5.5846999999999998</v>
      </c>
      <c r="D403" s="60">
        <f>5.5999 * CHOOSE(CONTROL!$C$19, $C$13, 100%, $E$13)</f>
        <v>5.5998999999999999</v>
      </c>
      <c r="E403" s="61">
        <f>6.2255 * CHOOSE(CONTROL!$C$19, $C$13, 100%, $E$13)</f>
        <v>6.2255000000000003</v>
      </c>
      <c r="F403" s="61">
        <f>6.2255 * CHOOSE(CONTROL!$C$19, $C$13, 100%, $E$13)</f>
        <v>6.2255000000000003</v>
      </c>
      <c r="G403" s="61">
        <f>6.2257 * CHOOSE(CONTROL!$C$19, $C$13, 100%, $E$13)</f>
        <v>6.2256999999999998</v>
      </c>
      <c r="H403" s="61">
        <f>9.3179* CHOOSE(CONTROL!$C$19, $C$13, 100%, $E$13)</f>
        <v>9.3178999999999998</v>
      </c>
      <c r="I403" s="61">
        <f>9.318 * CHOOSE(CONTROL!$C$19, $C$13, 100%, $E$13)</f>
        <v>9.3179999999999996</v>
      </c>
      <c r="J403" s="61">
        <f>6.2255 * CHOOSE(CONTROL!$C$19, $C$13, 100%, $E$13)</f>
        <v>6.2255000000000003</v>
      </c>
      <c r="K403" s="61">
        <f>6.2257 * CHOOSE(CONTROL!$C$19, $C$13, 100%, $E$13)</f>
        <v>6.2256999999999998</v>
      </c>
    </row>
    <row r="404" spans="1:11" ht="15">
      <c r="A404" s="13">
        <v>54149</v>
      </c>
      <c r="B404" s="60">
        <f>5.5839 * CHOOSE(CONTROL!$C$19, $C$13, 100%, $E$13)</f>
        <v>5.5838999999999999</v>
      </c>
      <c r="C404" s="60">
        <f>5.5839 * CHOOSE(CONTROL!$C$19, $C$13, 100%, $E$13)</f>
        <v>5.5838999999999999</v>
      </c>
      <c r="D404" s="60">
        <f>5.5991 * CHOOSE(CONTROL!$C$19, $C$13, 100%, $E$13)</f>
        <v>5.5991</v>
      </c>
      <c r="E404" s="61">
        <f>6.3004 * CHOOSE(CONTROL!$C$19, $C$13, 100%, $E$13)</f>
        <v>6.3003999999999998</v>
      </c>
      <c r="F404" s="61">
        <f>6.3004 * CHOOSE(CONTROL!$C$19, $C$13, 100%, $E$13)</f>
        <v>6.3003999999999998</v>
      </c>
      <c r="G404" s="61">
        <f>6.3006 * CHOOSE(CONTROL!$C$19, $C$13, 100%, $E$13)</f>
        <v>6.3006000000000002</v>
      </c>
      <c r="H404" s="61">
        <f>9.3373* CHOOSE(CONTROL!$C$19, $C$13, 100%, $E$13)</f>
        <v>9.3373000000000008</v>
      </c>
      <c r="I404" s="61">
        <f>9.3374 * CHOOSE(CONTROL!$C$19, $C$13, 100%, $E$13)</f>
        <v>9.3374000000000006</v>
      </c>
      <c r="J404" s="61">
        <f>6.3004 * CHOOSE(CONTROL!$C$19, $C$13, 100%, $E$13)</f>
        <v>6.3003999999999998</v>
      </c>
      <c r="K404" s="61">
        <f>6.3006 * CHOOSE(CONTROL!$C$19, $C$13, 100%, $E$13)</f>
        <v>6.3006000000000002</v>
      </c>
    </row>
    <row r="405" spans="1:11" ht="15">
      <c r="A405" s="13">
        <v>54179</v>
      </c>
      <c r="B405" s="60">
        <f>5.5839 * CHOOSE(CONTROL!$C$19, $C$13, 100%, $E$13)</f>
        <v>5.5838999999999999</v>
      </c>
      <c r="C405" s="60">
        <f>5.5839 * CHOOSE(CONTROL!$C$19, $C$13, 100%, $E$13)</f>
        <v>5.5838999999999999</v>
      </c>
      <c r="D405" s="60">
        <f>5.6143 * CHOOSE(CONTROL!$C$19, $C$13, 100%, $E$13)</f>
        <v>5.6143000000000001</v>
      </c>
      <c r="E405" s="61">
        <f>6.33 * CHOOSE(CONTROL!$C$19, $C$13, 100%, $E$13)</f>
        <v>6.33</v>
      </c>
      <c r="F405" s="61">
        <f>6.33 * CHOOSE(CONTROL!$C$19, $C$13, 100%, $E$13)</f>
        <v>6.33</v>
      </c>
      <c r="G405" s="61">
        <f>6.3319 * CHOOSE(CONTROL!$C$19, $C$13, 100%, $E$13)</f>
        <v>6.3319000000000001</v>
      </c>
      <c r="H405" s="61">
        <f>9.3567* CHOOSE(CONTROL!$C$19, $C$13, 100%, $E$13)</f>
        <v>9.3567</v>
      </c>
      <c r="I405" s="61">
        <f>9.3586 * CHOOSE(CONTROL!$C$19, $C$13, 100%, $E$13)</f>
        <v>9.3585999999999991</v>
      </c>
      <c r="J405" s="61">
        <f>6.33 * CHOOSE(CONTROL!$C$19, $C$13, 100%, $E$13)</f>
        <v>6.33</v>
      </c>
      <c r="K405" s="61">
        <f>6.3319 * CHOOSE(CONTROL!$C$19, $C$13, 100%, $E$13)</f>
        <v>6.3319000000000001</v>
      </c>
    </row>
    <row r="406" spans="1:11" ht="15">
      <c r="A406" s="13">
        <v>54210</v>
      </c>
      <c r="B406" s="60">
        <f>5.59 * CHOOSE(CONTROL!$C$19, $C$13, 100%, $E$13)</f>
        <v>5.59</v>
      </c>
      <c r="C406" s="60">
        <f>5.59 * CHOOSE(CONTROL!$C$19, $C$13, 100%, $E$13)</f>
        <v>5.59</v>
      </c>
      <c r="D406" s="60">
        <f>5.6204 * CHOOSE(CONTROL!$C$19, $C$13, 100%, $E$13)</f>
        <v>5.6204000000000001</v>
      </c>
      <c r="E406" s="61">
        <f>6.3046 * CHOOSE(CONTROL!$C$19, $C$13, 100%, $E$13)</f>
        <v>6.3045999999999998</v>
      </c>
      <c r="F406" s="61">
        <f>6.3046 * CHOOSE(CONTROL!$C$19, $C$13, 100%, $E$13)</f>
        <v>6.3045999999999998</v>
      </c>
      <c r="G406" s="61">
        <f>6.3065 * CHOOSE(CONTROL!$C$19, $C$13, 100%, $E$13)</f>
        <v>6.3064999999999998</v>
      </c>
      <c r="H406" s="61">
        <f>9.3762* CHOOSE(CONTROL!$C$19, $C$13, 100%, $E$13)</f>
        <v>9.3762000000000008</v>
      </c>
      <c r="I406" s="61">
        <f>9.3781 * CHOOSE(CONTROL!$C$19, $C$13, 100%, $E$13)</f>
        <v>9.3780999999999999</v>
      </c>
      <c r="J406" s="61">
        <f>6.3046 * CHOOSE(CONTROL!$C$19, $C$13, 100%, $E$13)</f>
        <v>6.3045999999999998</v>
      </c>
      <c r="K406" s="61">
        <f>6.3065 * CHOOSE(CONTROL!$C$19, $C$13, 100%, $E$13)</f>
        <v>6.3064999999999998</v>
      </c>
    </row>
    <row r="407" spans="1:11" ht="15">
      <c r="A407" s="13">
        <v>54240</v>
      </c>
      <c r="B407" s="60">
        <f>5.6757 * CHOOSE(CONTROL!$C$19, $C$13, 100%, $E$13)</f>
        <v>5.6757</v>
      </c>
      <c r="C407" s="60">
        <f>5.6757 * CHOOSE(CONTROL!$C$19, $C$13, 100%, $E$13)</f>
        <v>5.6757</v>
      </c>
      <c r="D407" s="60">
        <f>5.7061 * CHOOSE(CONTROL!$C$19, $C$13, 100%, $E$13)</f>
        <v>5.7061000000000002</v>
      </c>
      <c r="E407" s="61">
        <f>6.4258 * CHOOSE(CONTROL!$C$19, $C$13, 100%, $E$13)</f>
        <v>6.4257999999999997</v>
      </c>
      <c r="F407" s="61">
        <f>6.4258 * CHOOSE(CONTROL!$C$19, $C$13, 100%, $E$13)</f>
        <v>6.4257999999999997</v>
      </c>
      <c r="G407" s="61">
        <f>6.4277 * CHOOSE(CONTROL!$C$19, $C$13, 100%, $E$13)</f>
        <v>6.4276999999999997</v>
      </c>
      <c r="H407" s="61">
        <f>9.3958* CHOOSE(CONTROL!$C$19, $C$13, 100%, $E$13)</f>
        <v>9.3957999999999995</v>
      </c>
      <c r="I407" s="61">
        <f>9.3977 * CHOOSE(CONTROL!$C$19, $C$13, 100%, $E$13)</f>
        <v>9.3977000000000004</v>
      </c>
      <c r="J407" s="61">
        <f>6.4258 * CHOOSE(CONTROL!$C$19, $C$13, 100%, $E$13)</f>
        <v>6.4257999999999997</v>
      </c>
      <c r="K407" s="61">
        <f>6.4277 * CHOOSE(CONTROL!$C$19, $C$13, 100%, $E$13)</f>
        <v>6.4276999999999997</v>
      </c>
    </row>
    <row r="408" spans="1:11" ht="15">
      <c r="A408" s="13">
        <v>54271</v>
      </c>
      <c r="B408" s="60">
        <f>5.6824 * CHOOSE(CONTROL!$C$19, $C$13, 100%, $E$13)</f>
        <v>5.6824000000000003</v>
      </c>
      <c r="C408" s="60">
        <f>5.6824 * CHOOSE(CONTROL!$C$19, $C$13, 100%, $E$13)</f>
        <v>5.6824000000000003</v>
      </c>
      <c r="D408" s="60">
        <f>5.7128 * CHOOSE(CONTROL!$C$19, $C$13, 100%, $E$13)</f>
        <v>5.7127999999999997</v>
      </c>
      <c r="E408" s="61">
        <f>6.3414 * CHOOSE(CONTROL!$C$19, $C$13, 100%, $E$13)</f>
        <v>6.3414000000000001</v>
      </c>
      <c r="F408" s="61">
        <f>6.3414 * CHOOSE(CONTROL!$C$19, $C$13, 100%, $E$13)</f>
        <v>6.3414000000000001</v>
      </c>
      <c r="G408" s="61">
        <f>6.3433 * CHOOSE(CONTROL!$C$19, $C$13, 100%, $E$13)</f>
        <v>6.3433000000000002</v>
      </c>
      <c r="H408" s="61">
        <f>9.4153* CHOOSE(CONTROL!$C$19, $C$13, 100%, $E$13)</f>
        <v>9.4153000000000002</v>
      </c>
      <c r="I408" s="61">
        <f>9.4172 * CHOOSE(CONTROL!$C$19, $C$13, 100%, $E$13)</f>
        <v>9.4171999999999993</v>
      </c>
      <c r="J408" s="61">
        <f>6.3414 * CHOOSE(CONTROL!$C$19, $C$13, 100%, $E$13)</f>
        <v>6.3414000000000001</v>
      </c>
      <c r="K408" s="61">
        <f>6.3433 * CHOOSE(CONTROL!$C$19, $C$13, 100%, $E$13)</f>
        <v>6.3433000000000002</v>
      </c>
    </row>
    <row r="409" spans="1:11" ht="15">
      <c r="A409" s="13">
        <v>54302</v>
      </c>
      <c r="B409" s="60">
        <f>5.6794 * CHOOSE(CONTROL!$C$19, $C$13, 100%, $E$13)</f>
        <v>5.6794000000000002</v>
      </c>
      <c r="C409" s="60">
        <f>5.6794 * CHOOSE(CONTROL!$C$19, $C$13, 100%, $E$13)</f>
        <v>5.6794000000000002</v>
      </c>
      <c r="D409" s="60">
        <f>5.7097 * CHOOSE(CONTROL!$C$19, $C$13, 100%, $E$13)</f>
        <v>5.7096999999999998</v>
      </c>
      <c r="E409" s="61">
        <f>6.3294 * CHOOSE(CONTROL!$C$19, $C$13, 100%, $E$13)</f>
        <v>6.3293999999999997</v>
      </c>
      <c r="F409" s="61">
        <f>6.3294 * CHOOSE(CONTROL!$C$19, $C$13, 100%, $E$13)</f>
        <v>6.3293999999999997</v>
      </c>
      <c r="G409" s="61">
        <f>6.3313 * CHOOSE(CONTROL!$C$19, $C$13, 100%, $E$13)</f>
        <v>6.3312999999999997</v>
      </c>
      <c r="H409" s="61">
        <f>9.4349* CHOOSE(CONTROL!$C$19, $C$13, 100%, $E$13)</f>
        <v>9.4349000000000007</v>
      </c>
      <c r="I409" s="61">
        <f>9.4368 * CHOOSE(CONTROL!$C$19, $C$13, 100%, $E$13)</f>
        <v>9.4367999999999999</v>
      </c>
      <c r="J409" s="61">
        <f>6.3294 * CHOOSE(CONTROL!$C$19, $C$13, 100%, $E$13)</f>
        <v>6.3293999999999997</v>
      </c>
      <c r="K409" s="61">
        <f>6.3313 * CHOOSE(CONTROL!$C$19, $C$13, 100%, $E$13)</f>
        <v>6.3312999999999997</v>
      </c>
    </row>
    <row r="410" spans="1:11" ht="15">
      <c r="A410" s="13">
        <v>54332</v>
      </c>
      <c r="B410" s="60">
        <f>5.6809 * CHOOSE(CONTROL!$C$19, $C$13, 100%, $E$13)</f>
        <v>5.6809000000000003</v>
      </c>
      <c r="C410" s="60">
        <f>5.6809 * CHOOSE(CONTROL!$C$19, $C$13, 100%, $E$13)</f>
        <v>5.6809000000000003</v>
      </c>
      <c r="D410" s="60">
        <f>5.6961 * CHOOSE(CONTROL!$C$19, $C$13, 100%, $E$13)</f>
        <v>5.6961000000000004</v>
      </c>
      <c r="E410" s="61">
        <f>6.3556 * CHOOSE(CONTROL!$C$19, $C$13, 100%, $E$13)</f>
        <v>6.3555999999999999</v>
      </c>
      <c r="F410" s="61">
        <f>6.3556 * CHOOSE(CONTROL!$C$19, $C$13, 100%, $E$13)</f>
        <v>6.3555999999999999</v>
      </c>
      <c r="G410" s="61">
        <f>6.3557 * CHOOSE(CONTROL!$C$19, $C$13, 100%, $E$13)</f>
        <v>6.3556999999999997</v>
      </c>
      <c r="H410" s="61">
        <f>9.4546* CHOOSE(CONTROL!$C$19, $C$13, 100%, $E$13)</f>
        <v>9.4545999999999992</v>
      </c>
      <c r="I410" s="61">
        <f>9.4548 * CHOOSE(CONTROL!$C$19, $C$13, 100%, $E$13)</f>
        <v>9.4548000000000005</v>
      </c>
      <c r="J410" s="61">
        <f>6.3556 * CHOOSE(CONTROL!$C$19, $C$13, 100%, $E$13)</f>
        <v>6.3555999999999999</v>
      </c>
      <c r="K410" s="61">
        <f>6.3557 * CHOOSE(CONTROL!$C$19, $C$13, 100%, $E$13)</f>
        <v>6.3556999999999997</v>
      </c>
    </row>
    <row r="411" spans="1:11" ht="15">
      <c r="A411" s="13">
        <v>54363</v>
      </c>
      <c r="B411" s="60">
        <f>5.6839 * CHOOSE(CONTROL!$C$19, $C$13, 100%, $E$13)</f>
        <v>5.6839000000000004</v>
      </c>
      <c r="C411" s="60">
        <f>5.6839 * CHOOSE(CONTROL!$C$19, $C$13, 100%, $E$13)</f>
        <v>5.6839000000000004</v>
      </c>
      <c r="D411" s="60">
        <f>5.6991 * CHOOSE(CONTROL!$C$19, $C$13, 100%, $E$13)</f>
        <v>5.6990999999999996</v>
      </c>
      <c r="E411" s="61">
        <f>6.3775 * CHOOSE(CONTROL!$C$19, $C$13, 100%, $E$13)</f>
        <v>6.3775000000000004</v>
      </c>
      <c r="F411" s="61">
        <f>6.3775 * CHOOSE(CONTROL!$C$19, $C$13, 100%, $E$13)</f>
        <v>6.3775000000000004</v>
      </c>
      <c r="G411" s="61">
        <f>6.3776 * CHOOSE(CONTROL!$C$19, $C$13, 100%, $E$13)</f>
        <v>6.3776000000000002</v>
      </c>
      <c r="H411" s="61">
        <f>9.4743* CHOOSE(CONTROL!$C$19, $C$13, 100%, $E$13)</f>
        <v>9.4742999999999995</v>
      </c>
      <c r="I411" s="61">
        <f>9.4745 * CHOOSE(CONTROL!$C$19, $C$13, 100%, $E$13)</f>
        <v>9.4745000000000008</v>
      </c>
      <c r="J411" s="61">
        <f>6.3775 * CHOOSE(CONTROL!$C$19, $C$13, 100%, $E$13)</f>
        <v>6.3775000000000004</v>
      </c>
      <c r="K411" s="61">
        <f>6.3776 * CHOOSE(CONTROL!$C$19, $C$13, 100%, $E$13)</f>
        <v>6.3776000000000002</v>
      </c>
    </row>
    <row r="412" spans="1:11" ht="15">
      <c r="A412" s="13">
        <v>54393</v>
      </c>
      <c r="B412" s="60">
        <f>5.6839 * CHOOSE(CONTROL!$C$19, $C$13, 100%, $E$13)</f>
        <v>5.6839000000000004</v>
      </c>
      <c r="C412" s="60">
        <f>5.6839 * CHOOSE(CONTROL!$C$19, $C$13, 100%, $E$13)</f>
        <v>5.6839000000000004</v>
      </c>
      <c r="D412" s="60">
        <f>5.6991 * CHOOSE(CONTROL!$C$19, $C$13, 100%, $E$13)</f>
        <v>5.6990999999999996</v>
      </c>
      <c r="E412" s="61">
        <f>6.328 * CHOOSE(CONTROL!$C$19, $C$13, 100%, $E$13)</f>
        <v>6.3280000000000003</v>
      </c>
      <c r="F412" s="61">
        <f>6.328 * CHOOSE(CONTROL!$C$19, $C$13, 100%, $E$13)</f>
        <v>6.3280000000000003</v>
      </c>
      <c r="G412" s="61">
        <f>6.3282 * CHOOSE(CONTROL!$C$19, $C$13, 100%, $E$13)</f>
        <v>6.3281999999999998</v>
      </c>
      <c r="H412" s="61">
        <f>9.494* CHOOSE(CONTROL!$C$19, $C$13, 100%, $E$13)</f>
        <v>9.4939999999999998</v>
      </c>
      <c r="I412" s="61">
        <f>9.4942 * CHOOSE(CONTROL!$C$19, $C$13, 100%, $E$13)</f>
        <v>9.4941999999999993</v>
      </c>
      <c r="J412" s="61">
        <f>6.328 * CHOOSE(CONTROL!$C$19, $C$13, 100%, $E$13)</f>
        <v>6.3280000000000003</v>
      </c>
      <c r="K412" s="61">
        <f>6.3282 * CHOOSE(CONTROL!$C$19, $C$13, 100%, $E$13)</f>
        <v>6.3281999999999998</v>
      </c>
    </row>
    <row r="413" spans="1:11" ht="15">
      <c r="A413" s="13">
        <v>54424</v>
      </c>
      <c r="B413" s="60">
        <f>5.7326 * CHOOSE(CONTROL!$C$19, $C$13, 100%, $E$13)</f>
        <v>5.7325999999999997</v>
      </c>
      <c r="C413" s="60">
        <f>5.7326 * CHOOSE(CONTROL!$C$19, $C$13, 100%, $E$13)</f>
        <v>5.7325999999999997</v>
      </c>
      <c r="D413" s="60">
        <f>5.7478 * CHOOSE(CONTROL!$C$19, $C$13, 100%, $E$13)</f>
        <v>5.7477999999999998</v>
      </c>
      <c r="E413" s="61">
        <f>6.425 * CHOOSE(CONTROL!$C$19, $C$13, 100%, $E$13)</f>
        <v>6.4249999999999998</v>
      </c>
      <c r="F413" s="61">
        <f>6.425 * CHOOSE(CONTROL!$C$19, $C$13, 100%, $E$13)</f>
        <v>6.4249999999999998</v>
      </c>
      <c r="G413" s="61">
        <f>6.4252 * CHOOSE(CONTROL!$C$19, $C$13, 100%, $E$13)</f>
        <v>6.4252000000000002</v>
      </c>
      <c r="H413" s="61">
        <f>9.5138* CHOOSE(CONTROL!$C$19, $C$13, 100%, $E$13)</f>
        <v>9.5137999999999998</v>
      </c>
      <c r="I413" s="61">
        <f>9.514 * CHOOSE(CONTROL!$C$19, $C$13, 100%, $E$13)</f>
        <v>9.5139999999999993</v>
      </c>
      <c r="J413" s="61">
        <f>6.425 * CHOOSE(CONTROL!$C$19, $C$13, 100%, $E$13)</f>
        <v>6.4249999999999998</v>
      </c>
      <c r="K413" s="61">
        <f>6.4252 * CHOOSE(CONTROL!$C$19, $C$13, 100%, $E$13)</f>
        <v>6.4252000000000002</v>
      </c>
    </row>
    <row r="414" spans="1:11" ht="15">
      <c r="A414" s="13">
        <v>54455</v>
      </c>
      <c r="B414" s="60">
        <f>5.7296 * CHOOSE(CONTROL!$C$19, $C$13, 100%, $E$13)</f>
        <v>5.7295999999999996</v>
      </c>
      <c r="C414" s="60">
        <f>5.7296 * CHOOSE(CONTROL!$C$19, $C$13, 100%, $E$13)</f>
        <v>5.7295999999999996</v>
      </c>
      <c r="D414" s="60">
        <f>5.7448 * CHOOSE(CONTROL!$C$19, $C$13, 100%, $E$13)</f>
        <v>5.7447999999999997</v>
      </c>
      <c r="E414" s="61">
        <f>6.3265 * CHOOSE(CONTROL!$C$19, $C$13, 100%, $E$13)</f>
        <v>6.3265000000000002</v>
      </c>
      <c r="F414" s="61">
        <f>6.3265 * CHOOSE(CONTROL!$C$19, $C$13, 100%, $E$13)</f>
        <v>6.3265000000000002</v>
      </c>
      <c r="G414" s="61">
        <f>6.3266 * CHOOSE(CONTROL!$C$19, $C$13, 100%, $E$13)</f>
        <v>6.3266</v>
      </c>
      <c r="H414" s="61">
        <f>9.5336* CHOOSE(CONTROL!$C$19, $C$13, 100%, $E$13)</f>
        <v>9.5335999999999999</v>
      </c>
      <c r="I414" s="61">
        <f>9.5338 * CHOOSE(CONTROL!$C$19, $C$13, 100%, $E$13)</f>
        <v>9.5337999999999994</v>
      </c>
      <c r="J414" s="61">
        <f>6.3265 * CHOOSE(CONTROL!$C$19, $C$13, 100%, $E$13)</f>
        <v>6.3265000000000002</v>
      </c>
      <c r="K414" s="61">
        <f>6.3266 * CHOOSE(CONTROL!$C$19, $C$13, 100%, $E$13)</f>
        <v>6.3266</v>
      </c>
    </row>
    <row r="415" spans="1:11" ht="15">
      <c r="A415" s="13">
        <v>54483</v>
      </c>
      <c r="B415" s="60">
        <f>5.7266 * CHOOSE(CONTROL!$C$19, $C$13, 100%, $E$13)</f>
        <v>5.7266000000000004</v>
      </c>
      <c r="C415" s="60">
        <f>5.7266 * CHOOSE(CONTROL!$C$19, $C$13, 100%, $E$13)</f>
        <v>5.7266000000000004</v>
      </c>
      <c r="D415" s="60">
        <f>5.7417 * CHOOSE(CONTROL!$C$19, $C$13, 100%, $E$13)</f>
        <v>5.7416999999999998</v>
      </c>
      <c r="E415" s="61">
        <f>6.4003 * CHOOSE(CONTROL!$C$19, $C$13, 100%, $E$13)</f>
        <v>6.4002999999999997</v>
      </c>
      <c r="F415" s="61">
        <f>6.4003 * CHOOSE(CONTROL!$C$19, $C$13, 100%, $E$13)</f>
        <v>6.4002999999999997</v>
      </c>
      <c r="G415" s="61">
        <f>6.4005 * CHOOSE(CONTROL!$C$19, $C$13, 100%, $E$13)</f>
        <v>6.4005000000000001</v>
      </c>
      <c r="H415" s="61">
        <f>9.5535* CHOOSE(CONTROL!$C$19, $C$13, 100%, $E$13)</f>
        <v>9.5534999999999997</v>
      </c>
      <c r="I415" s="61">
        <f>9.5537 * CHOOSE(CONTROL!$C$19, $C$13, 100%, $E$13)</f>
        <v>9.5536999999999992</v>
      </c>
      <c r="J415" s="61">
        <f>6.4003 * CHOOSE(CONTROL!$C$19, $C$13, 100%, $E$13)</f>
        <v>6.4002999999999997</v>
      </c>
      <c r="K415" s="61">
        <f>6.4005 * CHOOSE(CONTROL!$C$19, $C$13, 100%, $E$13)</f>
        <v>6.4005000000000001</v>
      </c>
    </row>
    <row r="416" spans="1:11" ht="15">
      <c r="A416" s="13">
        <v>54514</v>
      </c>
      <c r="B416" s="60">
        <f>5.7259 * CHOOSE(CONTROL!$C$19, $C$13, 100%, $E$13)</f>
        <v>5.7259000000000002</v>
      </c>
      <c r="C416" s="60">
        <f>5.7259 * CHOOSE(CONTROL!$C$19, $C$13, 100%, $E$13)</f>
        <v>5.7259000000000002</v>
      </c>
      <c r="D416" s="60">
        <f>5.7411 * CHOOSE(CONTROL!$C$19, $C$13, 100%, $E$13)</f>
        <v>5.7411000000000003</v>
      </c>
      <c r="E416" s="61">
        <f>6.4777 * CHOOSE(CONTROL!$C$19, $C$13, 100%, $E$13)</f>
        <v>6.4776999999999996</v>
      </c>
      <c r="F416" s="61">
        <f>6.4777 * CHOOSE(CONTROL!$C$19, $C$13, 100%, $E$13)</f>
        <v>6.4776999999999996</v>
      </c>
      <c r="G416" s="61">
        <f>6.4779 * CHOOSE(CONTROL!$C$19, $C$13, 100%, $E$13)</f>
        <v>6.4779</v>
      </c>
      <c r="H416" s="61">
        <f>9.5734* CHOOSE(CONTROL!$C$19, $C$13, 100%, $E$13)</f>
        <v>9.5733999999999995</v>
      </c>
      <c r="I416" s="61">
        <f>9.5736 * CHOOSE(CONTROL!$C$19, $C$13, 100%, $E$13)</f>
        <v>9.5736000000000008</v>
      </c>
      <c r="J416" s="61">
        <f>6.4777 * CHOOSE(CONTROL!$C$19, $C$13, 100%, $E$13)</f>
        <v>6.4776999999999996</v>
      </c>
      <c r="K416" s="61">
        <f>6.4779 * CHOOSE(CONTROL!$C$19, $C$13, 100%, $E$13)</f>
        <v>6.4779</v>
      </c>
    </row>
    <row r="417" spans="1:11" ht="15">
      <c r="A417" s="13">
        <v>54544</v>
      </c>
      <c r="B417" s="60">
        <f>5.7259 * CHOOSE(CONTROL!$C$19, $C$13, 100%, $E$13)</f>
        <v>5.7259000000000002</v>
      </c>
      <c r="C417" s="60">
        <f>5.7259 * CHOOSE(CONTROL!$C$19, $C$13, 100%, $E$13)</f>
        <v>5.7259000000000002</v>
      </c>
      <c r="D417" s="60">
        <f>5.7563 * CHOOSE(CONTROL!$C$19, $C$13, 100%, $E$13)</f>
        <v>5.7563000000000004</v>
      </c>
      <c r="E417" s="61">
        <f>6.5083 * CHOOSE(CONTROL!$C$19, $C$13, 100%, $E$13)</f>
        <v>6.5083000000000002</v>
      </c>
      <c r="F417" s="61">
        <f>6.5083 * CHOOSE(CONTROL!$C$19, $C$13, 100%, $E$13)</f>
        <v>6.5083000000000002</v>
      </c>
      <c r="G417" s="61">
        <f>6.5102 * CHOOSE(CONTROL!$C$19, $C$13, 100%, $E$13)</f>
        <v>6.5102000000000002</v>
      </c>
      <c r="H417" s="61">
        <f>9.5933* CHOOSE(CONTROL!$C$19, $C$13, 100%, $E$13)</f>
        <v>9.5932999999999993</v>
      </c>
      <c r="I417" s="61">
        <f>9.5952 * CHOOSE(CONTROL!$C$19, $C$13, 100%, $E$13)</f>
        <v>9.5952000000000002</v>
      </c>
      <c r="J417" s="61">
        <f>6.5083 * CHOOSE(CONTROL!$C$19, $C$13, 100%, $E$13)</f>
        <v>6.5083000000000002</v>
      </c>
      <c r="K417" s="61">
        <f>6.5102 * CHOOSE(CONTROL!$C$19, $C$13, 100%, $E$13)</f>
        <v>6.5102000000000002</v>
      </c>
    </row>
    <row r="418" spans="1:11" ht="15">
      <c r="A418" s="13">
        <v>54575</v>
      </c>
      <c r="B418" s="60">
        <f>5.732 * CHOOSE(CONTROL!$C$19, $C$13, 100%, $E$13)</f>
        <v>5.7320000000000002</v>
      </c>
      <c r="C418" s="60">
        <f>5.732 * CHOOSE(CONTROL!$C$19, $C$13, 100%, $E$13)</f>
        <v>5.7320000000000002</v>
      </c>
      <c r="D418" s="60">
        <f>5.7624 * CHOOSE(CONTROL!$C$19, $C$13, 100%, $E$13)</f>
        <v>5.7624000000000004</v>
      </c>
      <c r="E418" s="61">
        <f>6.482 * CHOOSE(CONTROL!$C$19, $C$13, 100%, $E$13)</f>
        <v>6.4820000000000002</v>
      </c>
      <c r="F418" s="61">
        <f>6.482 * CHOOSE(CONTROL!$C$19, $C$13, 100%, $E$13)</f>
        <v>6.4820000000000002</v>
      </c>
      <c r="G418" s="61">
        <f>6.4839 * CHOOSE(CONTROL!$C$19, $C$13, 100%, $E$13)</f>
        <v>6.4839000000000002</v>
      </c>
      <c r="H418" s="61">
        <f>9.6133* CHOOSE(CONTROL!$C$19, $C$13, 100%, $E$13)</f>
        <v>9.6133000000000006</v>
      </c>
      <c r="I418" s="61">
        <f>9.6152 * CHOOSE(CONTROL!$C$19, $C$13, 100%, $E$13)</f>
        <v>9.6151999999999997</v>
      </c>
      <c r="J418" s="61">
        <f>6.482 * CHOOSE(CONTROL!$C$19, $C$13, 100%, $E$13)</f>
        <v>6.4820000000000002</v>
      </c>
      <c r="K418" s="61">
        <f>6.4839 * CHOOSE(CONTROL!$C$19, $C$13, 100%, $E$13)</f>
        <v>6.4839000000000002</v>
      </c>
    </row>
    <row r="419" spans="1:11" ht="15">
      <c r="A419" s="13">
        <v>54605</v>
      </c>
      <c r="B419" s="60">
        <f>5.8195 * CHOOSE(CONTROL!$C$19, $C$13, 100%, $E$13)</f>
        <v>5.8194999999999997</v>
      </c>
      <c r="C419" s="60">
        <f>5.8195 * CHOOSE(CONTROL!$C$19, $C$13, 100%, $E$13)</f>
        <v>5.8194999999999997</v>
      </c>
      <c r="D419" s="60">
        <f>5.8499 * CHOOSE(CONTROL!$C$19, $C$13, 100%, $E$13)</f>
        <v>5.8498999999999999</v>
      </c>
      <c r="E419" s="61">
        <f>6.6062 * CHOOSE(CONTROL!$C$19, $C$13, 100%, $E$13)</f>
        <v>6.6062000000000003</v>
      </c>
      <c r="F419" s="61">
        <f>6.6062 * CHOOSE(CONTROL!$C$19, $C$13, 100%, $E$13)</f>
        <v>6.6062000000000003</v>
      </c>
      <c r="G419" s="61">
        <f>6.6081 * CHOOSE(CONTROL!$C$19, $C$13, 100%, $E$13)</f>
        <v>6.6081000000000003</v>
      </c>
      <c r="H419" s="61">
        <f>9.6334* CHOOSE(CONTROL!$C$19, $C$13, 100%, $E$13)</f>
        <v>9.6334</v>
      </c>
      <c r="I419" s="61">
        <f>9.6353 * CHOOSE(CONTROL!$C$19, $C$13, 100%, $E$13)</f>
        <v>9.6353000000000009</v>
      </c>
      <c r="J419" s="61">
        <f>6.6062 * CHOOSE(CONTROL!$C$19, $C$13, 100%, $E$13)</f>
        <v>6.6062000000000003</v>
      </c>
      <c r="K419" s="61">
        <f>6.6081 * CHOOSE(CONTROL!$C$19, $C$13, 100%, $E$13)</f>
        <v>6.6081000000000003</v>
      </c>
    </row>
    <row r="420" spans="1:11" ht="15">
      <c r="A420" s="13">
        <v>54636</v>
      </c>
      <c r="B420" s="60">
        <f>5.8262 * CHOOSE(CONTROL!$C$19, $C$13, 100%, $E$13)</f>
        <v>5.8262</v>
      </c>
      <c r="C420" s="60">
        <f>5.8262 * CHOOSE(CONTROL!$C$19, $C$13, 100%, $E$13)</f>
        <v>5.8262</v>
      </c>
      <c r="D420" s="60">
        <f>5.8566 * CHOOSE(CONTROL!$C$19, $C$13, 100%, $E$13)</f>
        <v>5.8566000000000003</v>
      </c>
      <c r="E420" s="61">
        <f>6.519 * CHOOSE(CONTROL!$C$19, $C$13, 100%, $E$13)</f>
        <v>6.5190000000000001</v>
      </c>
      <c r="F420" s="61">
        <f>6.519 * CHOOSE(CONTROL!$C$19, $C$13, 100%, $E$13)</f>
        <v>6.5190000000000001</v>
      </c>
      <c r="G420" s="61">
        <f>6.5209 * CHOOSE(CONTROL!$C$19, $C$13, 100%, $E$13)</f>
        <v>6.5209000000000001</v>
      </c>
      <c r="H420" s="61">
        <f>9.6534* CHOOSE(CONTROL!$C$19, $C$13, 100%, $E$13)</f>
        <v>9.6533999999999995</v>
      </c>
      <c r="I420" s="61">
        <f>9.6553 * CHOOSE(CONTROL!$C$19, $C$13, 100%, $E$13)</f>
        <v>9.6553000000000004</v>
      </c>
      <c r="J420" s="61">
        <f>6.519 * CHOOSE(CONTROL!$C$19, $C$13, 100%, $E$13)</f>
        <v>6.5190000000000001</v>
      </c>
      <c r="K420" s="61">
        <f>6.5209 * CHOOSE(CONTROL!$C$19, $C$13, 100%, $E$13)</f>
        <v>6.5209000000000001</v>
      </c>
    </row>
    <row r="421" spans="1:11" ht="15">
      <c r="A421" s="13">
        <v>54667</v>
      </c>
      <c r="B421" s="60">
        <f>5.8232 * CHOOSE(CONTROL!$C$19, $C$13, 100%, $E$13)</f>
        <v>5.8231999999999999</v>
      </c>
      <c r="C421" s="60">
        <f>5.8232 * CHOOSE(CONTROL!$C$19, $C$13, 100%, $E$13)</f>
        <v>5.8231999999999999</v>
      </c>
      <c r="D421" s="60">
        <f>5.8535 * CHOOSE(CONTROL!$C$19, $C$13, 100%, $E$13)</f>
        <v>5.8535000000000004</v>
      </c>
      <c r="E421" s="61">
        <f>6.5067 * CHOOSE(CONTROL!$C$19, $C$13, 100%, $E$13)</f>
        <v>6.5067000000000004</v>
      </c>
      <c r="F421" s="61">
        <f>6.5067 * CHOOSE(CONTROL!$C$19, $C$13, 100%, $E$13)</f>
        <v>6.5067000000000004</v>
      </c>
      <c r="G421" s="61">
        <f>6.5086 * CHOOSE(CONTROL!$C$19, $C$13, 100%, $E$13)</f>
        <v>6.5086000000000004</v>
      </c>
      <c r="H421" s="61">
        <f>9.6735* CHOOSE(CONTROL!$C$19, $C$13, 100%, $E$13)</f>
        <v>9.6735000000000007</v>
      </c>
      <c r="I421" s="61">
        <f>9.6754 * CHOOSE(CONTROL!$C$19, $C$13, 100%, $E$13)</f>
        <v>9.6753999999999998</v>
      </c>
      <c r="J421" s="61">
        <f>6.5067 * CHOOSE(CONTROL!$C$19, $C$13, 100%, $E$13)</f>
        <v>6.5067000000000004</v>
      </c>
      <c r="K421" s="61">
        <f>6.5086 * CHOOSE(CONTROL!$C$19, $C$13, 100%, $E$13)</f>
        <v>6.5086000000000004</v>
      </c>
    </row>
    <row r="422" spans="1:11" ht="15">
      <c r="A422" s="13">
        <v>54697</v>
      </c>
      <c r="B422" s="60">
        <f>5.8252 * CHOOSE(CONTROL!$C$19, $C$13, 100%, $E$13)</f>
        <v>5.8251999999999997</v>
      </c>
      <c r="C422" s="60">
        <f>5.8252 * CHOOSE(CONTROL!$C$19, $C$13, 100%, $E$13)</f>
        <v>5.8251999999999997</v>
      </c>
      <c r="D422" s="60">
        <f>5.8404 * CHOOSE(CONTROL!$C$19, $C$13, 100%, $E$13)</f>
        <v>5.8403999999999998</v>
      </c>
      <c r="E422" s="61">
        <f>6.5341 * CHOOSE(CONTROL!$C$19, $C$13, 100%, $E$13)</f>
        <v>6.5340999999999996</v>
      </c>
      <c r="F422" s="61">
        <f>6.5341 * CHOOSE(CONTROL!$C$19, $C$13, 100%, $E$13)</f>
        <v>6.5340999999999996</v>
      </c>
      <c r="G422" s="61">
        <f>6.5343 * CHOOSE(CONTROL!$C$19, $C$13, 100%, $E$13)</f>
        <v>6.5343</v>
      </c>
      <c r="H422" s="61">
        <f>9.6937* CHOOSE(CONTROL!$C$19, $C$13, 100%, $E$13)</f>
        <v>9.6936999999999998</v>
      </c>
      <c r="I422" s="61">
        <f>9.6939 * CHOOSE(CONTROL!$C$19, $C$13, 100%, $E$13)</f>
        <v>9.6938999999999993</v>
      </c>
      <c r="J422" s="61">
        <f>6.5341 * CHOOSE(CONTROL!$C$19, $C$13, 100%, $E$13)</f>
        <v>6.5340999999999996</v>
      </c>
      <c r="K422" s="61">
        <f>6.5343 * CHOOSE(CONTROL!$C$19, $C$13, 100%, $E$13)</f>
        <v>6.5343</v>
      </c>
    </row>
    <row r="423" spans="1:11" ht="15">
      <c r="A423" s="13">
        <v>54728</v>
      </c>
      <c r="B423" s="60">
        <f>5.8283 * CHOOSE(CONTROL!$C$19, $C$13, 100%, $E$13)</f>
        <v>5.8282999999999996</v>
      </c>
      <c r="C423" s="60">
        <f>5.8283 * CHOOSE(CONTROL!$C$19, $C$13, 100%, $E$13)</f>
        <v>5.8282999999999996</v>
      </c>
      <c r="D423" s="60">
        <f>5.8434 * CHOOSE(CONTROL!$C$19, $C$13, 100%, $E$13)</f>
        <v>5.8433999999999999</v>
      </c>
      <c r="E423" s="61">
        <f>6.5566 * CHOOSE(CONTROL!$C$19, $C$13, 100%, $E$13)</f>
        <v>6.5566000000000004</v>
      </c>
      <c r="F423" s="61">
        <f>6.5566 * CHOOSE(CONTROL!$C$19, $C$13, 100%, $E$13)</f>
        <v>6.5566000000000004</v>
      </c>
      <c r="G423" s="61">
        <f>6.5568 * CHOOSE(CONTROL!$C$19, $C$13, 100%, $E$13)</f>
        <v>6.5568</v>
      </c>
      <c r="H423" s="61">
        <f>9.7139* CHOOSE(CONTROL!$C$19, $C$13, 100%, $E$13)</f>
        <v>9.7139000000000006</v>
      </c>
      <c r="I423" s="61">
        <f>9.7141 * CHOOSE(CONTROL!$C$19, $C$13, 100%, $E$13)</f>
        <v>9.7141000000000002</v>
      </c>
      <c r="J423" s="61">
        <f>6.5566 * CHOOSE(CONTROL!$C$19, $C$13, 100%, $E$13)</f>
        <v>6.5566000000000004</v>
      </c>
      <c r="K423" s="61">
        <f>6.5568 * CHOOSE(CONTROL!$C$19, $C$13, 100%, $E$13)</f>
        <v>6.5568</v>
      </c>
    </row>
    <row r="424" spans="1:11" ht="15">
      <c r="A424" s="13">
        <v>54758</v>
      </c>
      <c r="B424" s="60">
        <f>5.8283 * CHOOSE(CONTROL!$C$19, $C$13, 100%, $E$13)</f>
        <v>5.8282999999999996</v>
      </c>
      <c r="C424" s="60">
        <f>5.8283 * CHOOSE(CONTROL!$C$19, $C$13, 100%, $E$13)</f>
        <v>5.8282999999999996</v>
      </c>
      <c r="D424" s="60">
        <f>5.8434 * CHOOSE(CONTROL!$C$19, $C$13, 100%, $E$13)</f>
        <v>5.8433999999999999</v>
      </c>
      <c r="E424" s="61">
        <f>6.5056 * CHOOSE(CONTROL!$C$19, $C$13, 100%, $E$13)</f>
        <v>6.5056000000000003</v>
      </c>
      <c r="F424" s="61">
        <f>6.5056 * CHOOSE(CONTROL!$C$19, $C$13, 100%, $E$13)</f>
        <v>6.5056000000000003</v>
      </c>
      <c r="G424" s="61">
        <f>6.5058 * CHOOSE(CONTROL!$C$19, $C$13, 100%, $E$13)</f>
        <v>6.5057999999999998</v>
      </c>
      <c r="H424" s="61">
        <f>9.7341* CHOOSE(CONTROL!$C$19, $C$13, 100%, $E$13)</f>
        <v>9.7340999999999998</v>
      </c>
      <c r="I424" s="61">
        <f>9.7343 * CHOOSE(CONTROL!$C$19, $C$13, 100%, $E$13)</f>
        <v>9.7342999999999993</v>
      </c>
      <c r="J424" s="61">
        <f>6.5056 * CHOOSE(CONTROL!$C$19, $C$13, 100%, $E$13)</f>
        <v>6.5056000000000003</v>
      </c>
      <c r="K424" s="61">
        <f>6.5058 * CHOOSE(CONTROL!$C$19, $C$13, 100%, $E$13)</f>
        <v>6.5057999999999998</v>
      </c>
    </row>
    <row r="425" spans="1:11" ht="15">
      <c r="A425" s="13">
        <v>54789</v>
      </c>
      <c r="B425" s="60">
        <f>5.8781 * CHOOSE(CONTROL!$C$19, $C$13, 100%, $E$13)</f>
        <v>5.8780999999999999</v>
      </c>
      <c r="C425" s="60">
        <f>5.8781 * CHOOSE(CONTROL!$C$19, $C$13, 100%, $E$13)</f>
        <v>5.8780999999999999</v>
      </c>
      <c r="D425" s="60">
        <f>5.8933 * CHOOSE(CONTROL!$C$19, $C$13, 100%, $E$13)</f>
        <v>5.8933</v>
      </c>
      <c r="E425" s="61">
        <f>6.6054 * CHOOSE(CONTROL!$C$19, $C$13, 100%, $E$13)</f>
        <v>6.6054000000000004</v>
      </c>
      <c r="F425" s="61">
        <f>6.6054 * CHOOSE(CONTROL!$C$19, $C$13, 100%, $E$13)</f>
        <v>6.6054000000000004</v>
      </c>
      <c r="G425" s="61">
        <f>6.6056 * CHOOSE(CONTROL!$C$19, $C$13, 100%, $E$13)</f>
        <v>6.6055999999999999</v>
      </c>
      <c r="H425" s="61">
        <f>9.7544* CHOOSE(CONTROL!$C$19, $C$13, 100%, $E$13)</f>
        <v>9.7544000000000004</v>
      </c>
      <c r="I425" s="61">
        <f>9.7546 * CHOOSE(CONTROL!$C$19, $C$13, 100%, $E$13)</f>
        <v>9.7545999999999999</v>
      </c>
      <c r="J425" s="61">
        <f>6.6054 * CHOOSE(CONTROL!$C$19, $C$13, 100%, $E$13)</f>
        <v>6.6054000000000004</v>
      </c>
      <c r="K425" s="61">
        <f>6.6056 * CHOOSE(CONTROL!$C$19, $C$13, 100%, $E$13)</f>
        <v>6.6055999999999999</v>
      </c>
    </row>
    <row r="426" spans="1:11" ht="15">
      <c r="A426" s="13">
        <v>54820</v>
      </c>
      <c r="B426" s="60">
        <f>5.875 * CHOOSE(CONTROL!$C$19, $C$13, 100%, $E$13)</f>
        <v>5.875</v>
      </c>
      <c r="C426" s="60">
        <f>5.875 * CHOOSE(CONTROL!$C$19, $C$13, 100%, $E$13)</f>
        <v>5.875</v>
      </c>
      <c r="D426" s="60">
        <f>5.8902 * CHOOSE(CONTROL!$C$19, $C$13, 100%, $E$13)</f>
        <v>5.8902000000000001</v>
      </c>
      <c r="E426" s="61">
        <f>6.5038 * CHOOSE(CONTROL!$C$19, $C$13, 100%, $E$13)</f>
        <v>6.5038</v>
      </c>
      <c r="F426" s="61">
        <f>6.5038 * CHOOSE(CONTROL!$C$19, $C$13, 100%, $E$13)</f>
        <v>6.5038</v>
      </c>
      <c r="G426" s="61">
        <f>6.504 * CHOOSE(CONTROL!$C$19, $C$13, 100%, $E$13)</f>
        <v>6.5039999999999996</v>
      </c>
      <c r="H426" s="61">
        <f>9.7747* CHOOSE(CONTROL!$C$19, $C$13, 100%, $E$13)</f>
        <v>9.7746999999999993</v>
      </c>
      <c r="I426" s="61">
        <f>9.7749 * CHOOSE(CONTROL!$C$19, $C$13, 100%, $E$13)</f>
        <v>9.7749000000000006</v>
      </c>
      <c r="J426" s="61">
        <f>6.5038 * CHOOSE(CONTROL!$C$19, $C$13, 100%, $E$13)</f>
        <v>6.5038</v>
      </c>
      <c r="K426" s="61">
        <f>6.504 * CHOOSE(CONTROL!$C$19, $C$13, 100%, $E$13)</f>
        <v>6.5039999999999996</v>
      </c>
    </row>
    <row r="427" spans="1:11" ht="15">
      <c r="A427" s="13">
        <v>54848</v>
      </c>
      <c r="B427" s="60">
        <f>5.872 * CHOOSE(CONTROL!$C$19, $C$13, 100%, $E$13)</f>
        <v>5.8719999999999999</v>
      </c>
      <c r="C427" s="60">
        <f>5.872 * CHOOSE(CONTROL!$C$19, $C$13, 100%, $E$13)</f>
        <v>5.8719999999999999</v>
      </c>
      <c r="D427" s="60">
        <f>5.8872 * CHOOSE(CONTROL!$C$19, $C$13, 100%, $E$13)</f>
        <v>5.8872</v>
      </c>
      <c r="E427" s="61">
        <f>6.5801 * CHOOSE(CONTROL!$C$19, $C$13, 100%, $E$13)</f>
        <v>6.5800999999999998</v>
      </c>
      <c r="F427" s="61">
        <f>6.5801 * CHOOSE(CONTROL!$C$19, $C$13, 100%, $E$13)</f>
        <v>6.5800999999999998</v>
      </c>
      <c r="G427" s="61">
        <f>6.5803 * CHOOSE(CONTROL!$C$19, $C$13, 100%, $E$13)</f>
        <v>6.5803000000000003</v>
      </c>
      <c r="H427" s="61">
        <f>9.7951* CHOOSE(CONTROL!$C$19, $C$13, 100%, $E$13)</f>
        <v>9.7950999999999997</v>
      </c>
      <c r="I427" s="61">
        <f>9.7953 * CHOOSE(CONTROL!$C$19, $C$13, 100%, $E$13)</f>
        <v>9.7952999999999992</v>
      </c>
      <c r="J427" s="61">
        <f>6.5801 * CHOOSE(CONTROL!$C$19, $C$13, 100%, $E$13)</f>
        <v>6.5800999999999998</v>
      </c>
      <c r="K427" s="61">
        <f>6.5803 * CHOOSE(CONTROL!$C$19, $C$13, 100%, $E$13)</f>
        <v>6.5803000000000003</v>
      </c>
    </row>
    <row r="428" spans="1:11" ht="15">
      <c r="A428" s="13">
        <v>54879</v>
      </c>
      <c r="B428" s="60">
        <f>5.8715 * CHOOSE(CONTROL!$C$19, $C$13, 100%, $E$13)</f>
        <v>5.8715000000000002</v>
      </c>
      <c r="C428" s="60">
        <f>5.8715 * CHOOSE(CONTROL!$C$19, $C$13, 100%, $E$13)</f>
        <v>5.8715000000000002</v>
      </c>
      <c r="D428" s="60">
        <f>5.8867 * CHOOSE(CONTROL!$C$19, $C$13, 100%, $E$13)</f>
        <v>5.8867000000000003</v>
      </c>
      <c r="E428" s="61">
        <f>6.6601 * CHOOSE(CONTROL!$C$19, $C$13, 100%, $E$13)</f>
        <v>6.6600999999999999</v>
      </c>
      <c r="F428" s="61">
        <f>6.6601 * CHOOSE(CONTROL!$C$19, $C$13, 100%, $E$13)</f>
        <v>6.6600999999999999</v>
      </c>
      <c r="G428" s="61">
        <f>6.6602 * CHOOSE(CONTROL!$C$19, $C$13, 100%, $E$13)</f>
        <v>6.6601999999999997</v>
      </c>
      <c r="H428" s="61">
        <f>9.8155* CHOOSE(CONTROL!$C$19, $C$13, 100%, $E$13)</f>
        <v>9.8155000000000001</v>
      </c>
      <c r="I428" s="61">
        <f>9.8157 * CHOOSE(CONTROL!$C$19, $C$13, 100%, $E$13)</f>
        <v>9.8156999999999996</v>
      </c>
      <c r="J428" s="61">
        <f>6.6601 * CHOOSE(CONTROL!$C$19, $C$13, 100%, $E$13)</f>
        <v>6.6600999999999999</v>
      </c>
      <c r="K428" s="61">
        <f>6.6602 * CHOOSE(CONTROL!$C$19, $C$13, 100%, $E$13)</f>
        <v>6.6601999999999997</v>
      </c>
    </row>
    <row r="429" spans="1:11" ht="15">
      <c r="A429" s="13">
        <v>54909</v>
      </c>
      <c r="B429" s="60">
        <f>5.8715 * CHOOSE(CONTROL!$C$19, $C$13, 100%, $E$13)</f>
        <v>5.8715000000000002</v>
      </c>
      <c r="C429" s="60">
        <f>5.8715 * CHOOSE(CONTROL!$C$19, $C$13, 100%, $E$13)</f>
        <v>5.8715000000000002</v>
      </c>
      <c r="D429" s="60">
        <f>5.9019 * CHOOSE(CONTROL!$C$19, $C$13, 100%, $E$13)</f>
        <v>5.9019000000000004</v>
      </c>
      <c r="E429" s="61">
        <f>6.6917 * CHOOSE(CONTROL!$C$19, $C$13, 100%, $E$13)</f>
        <v>6.6917</v>
      </c>
      <c r="F429" s="61">
        <f>6.6917 * CHOOSE(CONTROL!$C$19, $C$13, 100%, $E$13)</f>
        <v>6.6917</v>
      </c>
      <c r="G429" s="61">
        <f>6.6936 * CHOOSE(CONTROL!$C$19, $C$13, 100%, $E$13)</f>
        <v>6.6936</v>
      </c>
      <c r="H429" s="61">
        <f>9.8359* CHOOSE(CONTROL!$C$19, $C$13, 100%, $E$13)</f>
        <v>9.8359000000000005</v>
      </c>
      <c r="I429" s="61">
        <f>9.8378 * CHOOSE(CONTROL!$C$19, $C$13, 100%, $E$13)</f>
        <v>9.8377999999999997</v>
      </c>
      <c r="J429" s="61">
        <f>6.6917 * CHOOSE(CONTROL!$C$19, $C$13, 100%, $E$13)</f>
        <v>6.6917</v>
      </c>
      <c r="K429" s="61">
        <f>6.6936 * CHOOSE(CONTROL!$C$19, $C$13, 100%, $E$13)</f>
        <v>6.6936</v>
      </c>
    </row>
    <row r="430" spans="1:11" ht="15">
      <c r="A430" s="13">
        <v>54940</v>
      </c>
      <c r="B430" s="60">
        <f>5.8776 * CHOOSE(CONTROL!$C$19, $C$13, 100%, $E$13)</f>
        <v>5.8776000000000002</v>
      </c>
      <c r="C430" s="60">
        <f>5.8776 * CHOOSE(CONTROL!$C$19, $C$13, 100%, $E$13)</f>
        <v>5.8776000000000002</v>
      </c>
      <c r="D430" s="60">
        <f>5.908 * CHOOSE(CONTROL!$C$19, $C$13, 100%, $E$13)</f>
        <v>5.9080000000000004</v>
      </c>
      <c r="E430" s="61">
        <f>6.6643 * CHOOSE(CONTROL!$C$19, $C$13, 100%, $E$13)</f>
        <v>6.6642999999999999</v>
      </c>
      <c r="F430" s="61">
        <f>6.6643 * CHOOSE(CONTROL!$C$19, $C$13, 100%, $E$13)</f>
        <v>6.6642999999999999</v>
      </c>
      <c r="G430" s="61">
        <f>6.6662 * CHOOSE(CONTROL!$C$19, $C$13, 100%, $E$13)</f>
        <v>6.6661999999999999</v>
      </c>
      <c r="H430" s="61">
        <f>9.8564* CHOOSE(CONTROL!$C$19, $C$13, 100%, $E$13)</f>
        <v>9.8564000000000007</v>
      </c>
      <c r="I430" s="61">
        <f>9.8583 * CHOOSE(CONTROL!$C$19, $C$13, 100%, $E$13)</f>
        <v>9.8582999999999998</v>
      </c>
      <c r="J430" s="61">
        <f>6.6643 * CHOOSE(CONTROL!$C$19, $C$13, 100%, $E$13)</f>
        <v>6.6642999999999999</v>
      </c>
      <c r="K430" s="61">
        <f>6.6662 * CHOOSE(CONTROL!$C$19, $C$13, 100%, $E$13)</f>
        <v>6.6661999999999999</v>
      </c>
    </row>
    <row r="431" spans="1:11" ht="15">
      <c r="A431" s="13">
        <v>54970</v>
      </c>
      <c r="B431" s="60">
        <f>5.967 * CHOOSE(CONTROL!$C$19, $C$13, 100%, $E$13)</f>
        <v>5.9669999999999996</v>
      </c>
      <c r="C431" s="60">
        <f>5.967 * CHOOSE(CONTROL!$C$19, $C$13, 100%, $E$13)</f>
        <v>5.9669999999999996</v>
      </c>
      <c r="D431" s="60">
        <f>5.9973 * CHOOSE(CONTROL!$C$19, $C$13, 100%, $E$13)</f>
        <v>5.9973000000000001</v>
      </c>
      <c r="E431" s="61">
        <f>6.7917 * CHOOSE(CONTROL!$C$19, $C$13, 100%, $E$13)</f>
        <v>6.7916999999999996</v>
      </c>
      <c r="F431" s="61">
        <f>6.7917 * CHOOSE(CONTROL!$C$19, $C$13, 100%, $E$13)</f>
        <v>6.7916999999999996</v>
      </c>
      <c r="G431" s="61">
        <f>6.7936 * CHOOSE(CONTROL!$C$19, $C$13, 100%, $E$13)</f>
        <v>6.7935999999999996</v>
      </c>
      <c r="H431" s="61">
        <f>9.877* CHOOSE(CONTROL!$C$19, $C$13, 100%, $E$13)</f>
        <v>9.8770000000000007</v>
      </c>
      <c r="I431" s="61">
        <f>9.8789 * CHOOSE(CONTROL!$C$19, $C$13, 100%, $E$13)</f>
        <v>9.8788999999999998</v>
      </c>
      <c r="J431" s="61">
        <f>6.7917 * CHOOSE(CONTROL!$C$19, $C$13, 100%, $E$13)</f>
        <v>6.7916999999999996</v>
      </c>
      <c r="K431" s="61">
        <f>6.7936 * CHOOSE(CONTROL!$C$19, $C$13, 100%, $E$13)</f>
        <v>6.7935999999999996</v>
      </c>
    </row>
    <row r="432" spans="1:11" ht="15">
      <c r="A432" s="13">
        <v>55001</v>
      </c>
      <c r="B432" s="60">
        <f>5.9737 * CHOOSE(CONTROL!$C$19, $C$13, 100%, $E$13)</f>
        <v>5.9737</v>
      </c>
      <c r="C432" s="60">
        <f>5.9737 * CHOOSE(CONTROL!$C$19, $C$13, 100%, $E$13)</f>
        <v>5.9737</v>
      </c>
      <c r="D432" s="60">
        <f>6.004 * CHOOSE(CONTROL!$C$19, $C$13, 100%, $E$13)</f>
        <v>6.0039999999999996</v>
      </c>
      <c r="E432" s="61">
        <f>6.7017 * CHOOSE(CONTROL!$C$19, $C$13, 100%, $E$13)</f>
        <v>6.7016999999999998</v>
      </c>
      <c r="F432" s="61">
        <f>6.7017 * CHOOSE(CONTROL!$C$19, $C$13, 100%, $E$13)</f>
        <v>6.7016999999999998</v>
      </c>
      <c r="G432" s="61">
        <f>6.7036 * CHOOSE(CONTROL!$C$19, $C$13, 100%, $E$13)</f>
        <v>6.7035999999999998</v>
      </c>
      <c r="H432" s="61">
        <f>9.8975* CHOOSE(CONTROL!$C$19, $C$13, 100%, $E$13)</f>
        <v>9.8975000000000009</v>
      </c>
      <c r="I432" s="61">
        <f>9.8994 * CHOOSE(CONTROL!$C$19, $C$13, 100%, $E$13)</f>
        <v>9.8994</v>
      </c>
      <c r="J432" s="61">
        <f>6.7017 * CHOOSE(CONTROL!$C$19, $C$13, 100%, $E$13)</f>
        <v>6.7016999999999998</v>
      </c>
      <c r="K432" s="61">
        <f>6.7036 * CHOOSE(CONTROL!$C$19, $C$13, 100%, $E$13)</f>
        <v>6.7035999999999998</v>
      </c>
    </row>
    <row r="433" spans="1:11" ht="15">
      <c r="A433" s="13">
        <v>55032</v>
      </c>
      <c r="B433" s="60">
        <f>5.9706 * CHOOSE(CONTROL!$C$19, $C$13, 100%, $E$13)</f>
        <v>5.9706000000000001</v>
      </c>
      <c r="C433" s="60">
        <f>5.9706 * CHOOSE(CONTROL!$C$19, $C$13, 100%, $E$13)</f>
        <v>5.9706000000000001</v>
      </c>
      <c r="D433" s="60">
        <f>6.001 * CHOOSE(CONTROL!$C$19, $C$13, 100%, $E$13)</f>
        <v>6.0010000000000003</v>
      </c>
      <c r="E433" s="61">
        <f>6.689 * CHOOSE(CONTROL!$C$19, $C$13, 100%, $E$13)</f>
        <v>6.6890000000000001</v>
      </c>
      <c r="F433" s="61">
        <f>6.689 * CHOOSE(CONTROL!$C$19, $C$13, 100%, $E$13)</f>
        <v>6.6890000000000001</v>
      </c>
      <c r="G433" s="61">
        <f>6.6909 * CHOOSE(CONTROL!$C$19, $C$13, 100%, $E$13)</f>
        <v>6.6909000000000001</v>
      </c>
      <c r="H433" s="61">
        <f>9.9182* CHOOSE(CONTROL!$C$19, $C$13, 100%, $E$13)</f>
        <v>9.9182000000000006</v>
      </c>
      <c r="I433" s="61">
        <f>9.9201 * CHOOSE(CONTROL!$C$19, $C$13, 100%, $E$13)</f>
        <v>9.9200999999999997</v>
      </c>
      <c r="J433" s="61">
        <f>6.689 * CHOOSE(CONTROL!$C$19, $C$13, 100%, $E$13)</f>
        <v>6.6890000000000001</v>
      </c>
      <c r="K433" s="61">
        <f>6.6909 * CHOOSE(CONTROL!$C$19, $C$13, 100%, $E$13)</f>
        <v>6.6909000000000001</v>
      </c>
    </row>
    <row r="434" spans="1:11" ht="15">
      <c r="A434" s="13">
        <v>55062</v>
      </c>
      <c r="B434" s="60">
        <f>5.9732 * CHOOSE(CONTROL!$C$19, $C$13, 100%, $E$13)</f>
        <v>5.9732000000000003</v>
      </c>
      <c r="C434" s="60">
        <f>5.9732 * CHOOSE(CONTROL!$C$19, $C$13, 100%, $E$13)</f>
        <v>5.9732000000000003</v>
      </c>
      <c r="D434" s="60">
        <f>5.9884 * CHOOSE(CONTROL!$C$19, $C$13, 100%, $E$13)</f>
        <v>5.9884000000000004</v>
      </c>
      <c r="E434" s="61">
        <f>6.7177 * CHOOSE(CONTROL!$C$19, $C$13, 100%, $E$13)</f>
        <v>6.7176999999999998</v>
      </c>
      <c r="F434" s="61">
        <f>6.7177 * CHOOSE(CONTROL!$C$19, $C$13, 100%, $E$13)</f>
        <v>6.7176999999999998</v>
      </c>
      <c r="G434" s="61">
        <f>6.7179 * CHOOSE(CONTROL!$C$19, $C$13, 100%, $E$13)</f>
        <v>6.7179000000000002</v>
      </c>
      <c r="H434" s="61">
        <f>9.9388* CHOOSE(CONTROL!$C$19, $C$13, 100%, $E$13)</f>
        <v>9.9388000000000005</v>
      </c>
      <c r="I434" s="61">
        <f>9.939 * CHOOSE(CONTROL!$C$19, $C$13, 100%, $E$13)</f>
        <v>9.9390000000000001</v>
      </c>
      <c r="J434" s="61">
        <f>6.7177 * CHOOSE(CONTROL!$C$19, $C$13, 100%, $E$13)</f>
        <v>6.7176999999999998</v>
      </c>
      <c r="K434" s="61">
        <f>6.7179 * CHOOSE(CONTROL!$C$19, $C$13, 100%, $E$13)</f>
        <v>6.7179000000000002</v>
      </c>
    </row>
    <row r="435" spans="1:11" ht="15">
      <c r="A435" s="13">
        <v>55093</v>
      </c>
      <c r="B435" s="60">
        <f>5.9763 * CHOOSE(CONTROL!$C$19, $C$13, 100%, $E$13)</f>
        <v>5.9763000000000002</v>
      </c>
      <c r="C435" s="60">
        <f>5.9763 * CHOOSE(CONTROL!$C$19, $C$13, 100%, $E$13)</f>
        <v>5.9763000000000002</v>
      </c>
      <c r="D435" s="60">
        <f>5.9915 * CHOOSE(CONTROL!$C$19, $C$13, 100%, $E$13)</f>
        <v>5.9915000000000003</v>
      </c>
      <c r="E435" s="61">
        <f>6.7409 * CHOOSE(CONTROL!$C$19, $C$13, 100%, $E$13)</f>
        <v>6.7408999999999999</v>
      </c>
      <c r="F435" s="61">
        <f>6.7409 * CHOOSE(CONTROL!$C$19, $C$13, 100%, $E$13)</f>
        <v>6.7408999999999999</v>
      </c>
      <c r="G435" s="61">
        <f>6.741 * CHOOSE(CONTROL!$C$19, $C$13, 100%, $E$13)</f>
        <v>6.7409999999999997</v>
      </c>
      <c r="H435" s="61">
        <f>9.9595* CHOOSE(CONTROL!$C$19, $C$13, 100%, $E$13)</f>
        <v>9.9595000000000002</v>
      </c>
      <c r="I435" s="61">
        <f>9.9597 * CHOOSE(CONTROL!$C$19, $C$13, 100%, $E$13)</f>
        <v>9.9596999999999998</v>
      </c>
      <c r="J435" s="61">
        <f>6.7409 * CHOOSE(CONTROL!$C$19, $C$13, 100%, $E$13)</f>
        <v>6.7408999999999999</v>
      </c>
      <c r="K435" s="61">
        <f>6.741 * CHOOSE(CONTROL!$C$19, $C$13, 100%, $E$13)</f>
        <v>6.7409999999999997</v>
      </c>
    </row>
    <row r="436" spans="1:11" ht="15">
      <c r="A436" s="13">
        <v>55123</v>
      </c>
      <c r="B436" s="60">
        <f>5.9763 * CHOOSE(CONTROL!$C$19, $C$13, 100%, $E$13)</f>
        <v>5.9763000000000002</v>
      </c>
      <c r="C436" s="60">
        <f>5.9763 * CHOOSE(CONTROL!$C$19, $C$13, 100%, $E$13)</f>
        <v>5.9763000000000002</v>
      </c>
      <c r="D436" s="60">
        <f>5.9915 * CHOOSE(CONTROL!$C$19, $C$13, 100%, $E$13)</f>
        <v>5.9915000000000003</v>
      </c>
      <c r="E436" s="61">
        <f>6.6882 * CHOOSE(CONTROL!$C$19, $C$13, 100%, $E$13)</f>
        <v>6.6882000000000001</v>
      </c>
      <c r="F436" s="61">
        <f>6.6882 * CHOOSE(CONTROL!$C$19, $C$13, 100%, $E$13)</f>
        <v>6.6882000000000001</v>
      </c>
      <c r="G436" s="61">
        <f>6.6884 * CHOOSE(CONTROL!$C$19, $C$13, 100%, $E$13)</f>
        <v>6.6883999999999997</v>
      </c>
      <c r="H436" s="61">
        <f>9.9803* CHOOSE(CONTROL!$C$19, $C$13, 100%, $E$13)</f>
        <v>9.9802999999999997</v>
      </c>
      <c r="I436" s="61">
        <f>9.9805 * CHOOSE(CONTROL!$C$19, $C$13, 100%, $E$13)</f>
        <v>9.9804999999999993</v>
      </c>
      <c r="J436" s="61">
        <f>6.6882 * CHOOSE(CONTROL!$C$19, $C$13, 100%, $E$13)</f>
        <v>6.6882000000000001</v>
      </c>
      <c r="K436" s="61">
        <f>6.6884 * CHOOSE(CONTROL!$C$19, $C$13, 100%, $E$13)</f>
        <v>6.6883999999999997</v>
      </c>
    </row>
    <row r="437" spans="1:11" ht="15">
      <c r="A437" s="13">
        <v>55154</v>
      </c>
      <c r="B437" s="60">
        <f>6.0272 * CHOOSE(CONTROL!$C$19, $C$13, 100%, $E$13)</f>
        <v>6.0271999999999997</v>
      </c>
      <c r="C437" s="60">
        <f>6.0272 * CHOOSE(CONTROL!$C$19, $C$13, 100%, $E$13)</f>
        <v>6.0271999999999997</v>
      </c>
      <c r="D437" s="60">
        <f>6.0424 * CHOOSE(CONTROL!$C$19, $C$13, 100%, $E$13)</f>
        <v>6.0423999999999998</v>
      </c>
      <c r="E437" s="61">
        <f>6.7909 * CHOOSE(CONTROL!$C$19, $C$13, 100%, $E$13)</f>
        <v>6.7908999999999997</v>
      </c>
      <c r="F437" s="61">
        <f>6.7909 * CHOOSE(CONTROL!$C$19, $C$13, 100%, $E$13)</f>
        <v>6.7908999999999997</v>
      </c>
      <c r="G437" s="61">
        <f>6.791 * CHOOSE(CONTROL!$C$19, $C$13, 100%, $E$13)</f>
        <v>6.7910000000000004</v>
      </c>
      <c r="H437" s="61">
        <f>10.0011* CHOOSE(CONTROL!$C$19, $C$13, 100%, $E$13)</f>
        <v>10.001099999999999</v>
      </c>
      <c r="I437" s="61">
        <f>10.0013 * CHOOSE(CONTROL!$C$19, $C$13, 100%, $E$13)</f>
        <v>10.001300000000001</v>
      </c>
      <c r="J437" s="61">
        <f>6.7909 * CHOOSE(CONTROL!$C$19, $C$13, 100%, $E$13)</f>
        <v>6.7908999999999997</v>
      </c>
      <c r="K437" s="61">
        <f>6.791 * CHOOSE(CONTROL!$C$19, $C$13, 100%, $E$13)</f>
        <v>6.7910000000000004</v>
      </c>
    </row>
    <row r="438" spans="1:11" ht="15">
      <c r="A438" s="13">
        <v>55185</v>
      </c>
      <c r="B438" s="60">
        <f>6.0242 * CHOOSE(CONTROL!$C$19, $C$13, 100%, $E$13)</f>
        <v>6.0242000000000004</v>
      </c>
      <c r="C438" s="60">
        <f>6.0242 * CHOOSE(CONTROL!$C$19, $C$13, 100%, $E$13)</f>
        <v>6.0242000000000004</v>
      </c>
      <c r="D438" s="60">
        <f>6.0394 * CHOOSE(CONTROL!$C$19, $C$13, 100%, $E$13)</f>
        <v>6.0393999999999997</v>
      </c>
      <c r="E438" s="61">
        <f>6.6861 * CHOOSE(CONTROL!$C$19, $C$13, 100%, $E$13)</f>
        <v>6.6860999999999997</v>
      </c>
      <c r="F438" s="61">
        <f>6.6861 * CHOOSE(CONTROL!$C$19, $C$13, 100%, $E$13)</f>
        <v>6.6860999999999997</v>
      </c>
      <c r="G438" s="61">
        <f>6.6863 * CHOOSE(CONTROL!$C$19, $C$13, 100%, $E$13)</f>
        <v>6.6863000000000001</v>
      </c>
      <c r="H438" s="61">
        <f>10.0219* CHOOSE(CONTROL!$C$19, $C$13, 100%, $E$13)</f>
        <v>10.0219</v>
      </c>
      <c r="I438" s="61">
        <f>10.0221 * CHOOSE(CONTROL!$C$19, $C$13, 100%, $E$13)</f>
        <v>10.0221</v>
      </c>
      <c r="J438" s="61">
        <f>6.6861 * CHOOSE(CONTROL!$C$19, $C$13, 100%, $E$13)</f>
        <v>6.6860999999999997</v>
      </c>
      <c r="K438" s="61">
        <f>6.6863 * CHOOSE(CONTROL!$C$19, $C$13, 100%, $E$13)</f>
        <v>6.6863000000000001</v>
      </c>
    </row>
    <row r="439" spans="1:11" ht="15">
      <c r="A439" s="13">
        <v>55213</v>
      </c>
      <c r="B439" s="60">
        <f>6.0212 * CHOOSE(CONTROL!$C$19, $C$13, 100%, $E$13)</f>
        <v>6.0212000000000003</v>
      </c>
      <c r="C439" s="60">
        <f>6.0212 * CHOOSE(CONTROL!$C$19, $C$13, 100%, $E$13)</f>
        <v>6.0212000000000003</v>
      </c>
      <c r="D439" s="60">
        <f>6.0363 * CHOOSE(CONTROL!$C$19, $C$13, 100%, $E$13)</f>
        <v>6.0362999999999998</v>
      </c>
      <c r="E439" s="61">
        <f>6.7649 * CHOOSE(CONTROL!$C$19, $C$13, 100%, $E$13)</f>
        <v>6.7648999999999999</v>
      </c>
      <c r="F439" s="61">
        <f>6.7649 * CHOOSE(CONTROL!$C$19, $C$13, 100%, $E$13)</f>
        <v>6.7648999999999999</v>
      </c>
      <c r="G439" s="61">
        <f>6.7651 * CHOOSE(CONTROL!$C$19, $C$13, 100%, $E$13)</f>
        <v>6.7651000000000003</v>
      </c>
      <c r="H439" s="61">
        <f>10.0428* CHOOSE(CONTROL!$C$19, $C$13, 100%, $E$13)</f>
        <v>10.0428</v>
      </c>
      <c r="I439" s="61">
        <f>10.043 * CHOOSE(CONTROL!$C$19, $C$13, 100%, $E$13)</f>
        <v>10.042999999999999</v>
      </c>
      <c r="J439" s="61">
        <f>6.7649 * CHOOSE(CONTROL!$C$19, $C$13, 100%, $E$13)</f>
        <v>6.7648999999999999</v>
      </c>
      <c r="K439" s="61">
        <f>6.7651 * CHOOSE(CONTROL!$C$19, $C$13, 100%, $E$13)</f>
        <v>6.7651000000000003</v>
      </c>
    </row>
    <row r="440" spans="1:11" ht="15">
      <c r="A440" s="13">
        <v>55244</v>
      </c>
      <c r="B440" s="60">
        <f>6.0208 * CHOOSE(CONTROL!$C$19, $C$13, 100%, $E$13)</f>
        <v>6.0208000000000004</v>
      </c>
      <c r="C440" s="60">
        <f>6.0208 * CHOOSE(CONTROL!$C$19, $C$13, 100%, $E$13)</f>
        <v>6.0208000000000004</v>
      </c>
      <c r="D440" s="60">
        <f>6.036 * CHOOSE(CONTROL!$C$19, $C$13, 100%, $E$13)</f>
        <v>6.0359999999999996</v>
      </c>
      <c r="E440" s="61">
        <f>6.8476 * CHOOSE(CONTROL!$C$19, $C$13, 100%, $E$13)</f>
        <v>6.8475999999999999</v>
      </c>
      <c r="F440" s="61">
        <f>6.8476 * CHOOSE(CONTROL!$C$19, $C$13, 100%, $E$13)</f>
        <v>6.8475999999999999</v>
      </c>
      <c r="G440" s="61">
        <f>6.8477 * CHOOSE(CONTROL!$C$19, $C$13, 100%, $E$13)</f>
        <v>6.8476999999999997</v>
      </c>
      <c r="H440" s="61">
        <f>10.0637* CHOOSE(CONTROL!$C$19, $C$13, 100%, $E$13)</f>
        <v>10.063700000000001</v>
      </c>
      <c r="I440" s="61">
        <f>10.0639 * CHOOSE(CONTROL!$C$19, $C$13, 100%, $E$13)</f>
        <v>10.0639</v>
      </c>
      <c r="J440" s="61">
        <f>6.8476 * CHOOSE(CONTROL!$C$19, $C$13, 100%, $E$13)</f>
        <v>6.8475999999999999</v>
      </c>
      <c r="K440" s="61">
        <f>6.8477 * CHOOSE(CONTROL!$C$19, $C$13, 100%, $E$13)</f>
        <v>6.8476999999999997</v>
      </c>
    </row>
    <row r="441" spans="1:11" ht="15">
      <c r="A441" s="13">
        <v>55274</v>
      </c>
      <c r="B441" s="60">
        <f>6.0208 * CHOOSE(CONTROL!$C$19, $C$13, 100%, $E$13)</f>
        <v>6.0208000000000004</v>
      </c>
      <c r="C441" s="60">
        <f>6.0208 * CHOOSE(CONTROL!$C$19, $C$13, 100%, $E$13)</f>
        <v>6.0208000000000004</v>
      </c>
      <c r="D441" s="60">
        <f>6.0512 * CHOOSE(CONTROL!$C$19, $C$13, 100%, $E$13)</f>
        <v>6.0511999999999997</v>
      </c>
      <c r="E441" s="61">
        <f>6.8802 * CHOOSE(CONTROL!$C$19, $C$13, 100%, $E$13)</f>
        <v>6.8802000000000003</v>
      </c>
      <c r="F441" s="61">
        <f>6.8802 * CHOOSE(CONTROL!$C$19, $C$13, 100%, $E$13)</f>
        <v>6.8802000000000003</v>
      </c>
      <c r="G441" s="61">
        <f>6.8821 * CHOOSE(CONTROL!$C$19, $C$13, 100%, $E$13)</f>
        <v>6.8821000000000003</v>
      </c>
      <c r="H441" s="61">
        <f>10.0847* CHOOSE(CONTROL!$C$19, $C$13, 100%, $E$13)</f>
        <v>10.0847</v>
      </c>
      <c r="I441" s="61">
        <f>10.0866 * CHOOSE(CONTROL!$C$19, $C$13, 100%, $E$13)</f>
        <v>10.086600000000001</v>
      </c>
      <c r="J441" s="61">
        <f>6.8802 * CHOOSE(CONTROL!$C$19, $C$13, 100%, $E$13)</f>
        <v>6.8802000000000003</v>
      </c>
      <c r="K441" s="61">
        <f>6.8821 * CHOOSE(CONTROL!$C$19, $C$13, 100%, $E$13)</f>
        <v>6.8821000000000003</v>
      </c>
    </row>
    <row r="442" spans="1:11" ht="15">
      <c r="A442" s="13">
        <v>55305</v>
      </c>
      <c r="B442" s="60">
        <f>6.0269 * CHOOSE(CONTROL!$C$19, $C$13, 100%, $E$13)</f>
        <v>6.0269000000000004</v>
      </c>
      <c r="C442" s="60">
        <f>6.0269 * CHOOSE(CONTROL!$C$19, $C$13, 100%, $E$13)</f>
        <v>6.0269000000000004</v>
      </c>
      <c r="D442" s="60">
        <f>6.0573 * CHOOSE(CONTROL!$C$19, $C$13, 100%, $E$13)</f>
        <v>6.0572999999999997</v>
      </c>
      <c r="E442" s="61">
        <f>6.8518 * CHOOSE(CONTROL!$C$19, $C$13, 100%, $E$13)</f>
        <v>6.8517999999999999</v>
      </c>
      <c r="F442" s="61">
        <f>6.8518 * CHOOSE(CONTROL!$C$19, $C$13, 100%, $E$13)</f>
        <v>6.8517999999999999</v>
      </c>
      <c r="G442" s="61">
        <f>6.8537 * CHOOSE(CONTROL!$C$19, $C$13, 100%, $E$13)</f>
        <v>6.8536999999999999</v>
      </c>
      <c r="H442" s="61">
        <f>10.1057* CHOOSE(CONTROL!$C$19, $C$13, 100%, $E$13)</f>
        <v>10.105700000000001</v>
      </c>
      <c r="I442" s="61">
        <f>10.1076 * CHOOSE(CONTROL!$C$19, $C$13, 100%, $E$13)</f>
        <v>10.1076</v>
      </c>
      <c r="J442" s="61">
        <f>6.8518 * CHOOSE(CONTROL!$C$19, $C$13, 100%, $E$13)</f>
        <v>6.8517999999999999</v>
      </c>
      <c r="K442" s="61">
        <f>6.8537 * CHOOSE(CONTROL!$C$19, $C$13, 100%, $E$13)</f>
        <v>6.8536999999999999</v>
      </c>
    </row>
    <row r="443" spans="1:11" ht="15">
      <c r="A443" s="13">
        <v>55335</v>
      </c>
      <c r="B443" s="60">
        <f>6.1182 * CHOOSE(CONTROL!$C$19, $C$13, 100%, $E$13)</f>
        <v>6.1181999999999999</v>
      </c>
      <c r="C443" s="60">
        <f>6.1182 * CHOOSE(CONTROL!$C$19, $C$13, 100%, $E$13)</f>
        <v>6.1181999999999999</v>
      </c>
      <c r="D443" s="60">
        <f>6.1485 * CHOOSE(CONTROL!$C$19, $C$13, 100%, $E$13)</f>
        <v>6.1485000000000003</v>
      </c>
      <c r="E443" s="61">
        <f>6.9825 * CHOOSE(CONTROL!$C$19, $C$13, 100%, $E$13)</f>
        <v>6.9824999999999999</v>
      </c>
      <c r="F443" s="61">
        <f>6.9825 * CHOOSE(CONTROL!$C$19, $C$13, 100%, $E$13)</f>
        <v>6.9824999999999999</v>
      </c>
      <c r="G443" s="61">
        <f>6.9844 * CHOOSE(CONTROL!$C$19, $C$13, 100%, $E$13)</f>
        <v>6.9843999999999999</v>
      </c>
      <c r="H443" s="61">
        <f>10.1267* CHOOSE(CONTROL!$C$19, $C$13, 100%, $E$13)</f>
        <v>10.1267</v>
      </c>
      <c r="I443" s="61">
        <f>10.1286 * CHOOSE(CONTROL!$C$19, $C$13, 100%, $E$13)</f>
        <v>10.1286</v>
      </c>
      <c r="J443" s="61">
        <f>6.9825 * CHOOSE(CONTROL!$C$19, $C$13, 100%, $E$13)</f>
        <v>6.9824999999999999</v>
      </c>
      <c r="K443" s="61">
        <f>6.9844 * CHOOSE(CONTROL!$C$19, $C$13, 100%, $E$13)</f>
        <v>6.9843999999999999</v>
      </c>
    </row>
    <row r="444" spans="1:11" ht="15">
      <c r="A444" s="13">
        <v>55366</v>
      </c>
      <c r="B444" s="60">
        <f>6.1249 * CHOOSE(CONTROL!$C$19, $C$13, 100%, $E$13)</f>
        <v>6.1249000000000002</v>
      </c>
      <c r="C444" s="60">
        <f>6.1249 * CHOOSE(CONTROL!$C$19, $C$13, 100%, $E$13)</f>
        <v>6.1249000000000002</v>
      </c>
      <c r="D444" s="60">
        <f>6.1552 * CHOOSE(CONTROL!$C$19, $C$13, 100%, $E$13)</f>
        <v>6.1551999999999998</v>
      </c>
      <c r="E444" s="61">
        <f>6.8894 * CHOOSE(CONTROL!$C$19, $C$13, 100%, $E$13)</f>
        <v>6.8894000000000002</v>
      </c>
      <c r="F444" s="61">
        <f>6.8894 * CHOOSE(CONTROL!$C$19, $C$13, 100%, $E$13)</f>
        <v>6.8894000000000002</v>
      </c>
      <c r="G444" s="61">
        <f>6.8913 * CHOOSE(CONTROL!$C$19, $C$13, 100%, $E$13)</f>
        <v>6.8913000000000002</v>
      </c>
      <c r="H444" s="61">
        <f>10.1478* CHOOSE(CONTROL!$C$19, $C$13, 100%, $E$13)</f>
        <v>10.1478</v>
      </c>
      <c r="I444" s="61">
        <f>10.1497 * CHOOSE(CONTROL!$C$19, $C$13, 100%, $E$13)</f>
        <v>10.149699999999999</v>
      </c>
      <c r="J444" s="61">
        <f>6.8894 * CHOOSE(CONTROL!$C$19, $C$13, 100%, $E$13)</f>
        <v>6.8894000000000002</v>
      </c>
      <c r="K444" s="61">
        <f>6.8913 * CHOOSE(CONTROL!$C$19, $C$13, 100%, $E$13)</f>
        <v>6.8913000000000002</v>
      </c>
    </row>
    <row r="445" spans="1:11" ht="15">
      <c r="A445" s="13">
        <v>55397</v>
      </c>
      <c r="B445" s="60">
        <f>6.1218 * CHOOSE(CONTROL!$C$19, $C$13, 100%, $E$13)</f>
        <v>6.1218000000000004</v>
      </c>
      <c r="C445" s="60">
        <f>6.1218 * CHOOSE(CONTROL!$C$19, $C$13, 100%, $E$13)</f>
        <v>6.1218000000000004</v>
      </c>
      <c r="D445" s="60">
        <f>6.1522 * CHOOSE(CONTROL!$C$19, $C$13, 100%, $E$13)</f>
        <v>6.1521999999999997</v>
      </c>
      <c r="E445" s="61">
        <f>6.8764 * CHOOSE(CONTROL!$C$19, $C$13, 100%, $E$13)</f>
        <v>6.8764000000000003</v>
      </c>
      <c r="F445" s="61">
        <f>6.8764 * CHOOSE(CONTROL!$C$19, $C$13, 100%, $E$13)</f>
        <v>6.8764000000000003</v>
      </c>
      <c r="G445" s="61">
        <f>6.8783 * CHOOSE(CONTROL!$C$19, $C$13, 100%, $E$13)</f>
        <v>6.8783000000000003</v>
      </c>
      <c r="H445" s="61">
        <f>10.169* CHOOSE(CONTROL!$C$19, $C$13, 100%, $E$13)</f>
        <v>10.169</v>
      </c>
      <c r="I445" s="61">
        <f>10.1709 * CHOOSE(CONTROL!$C$19, $C$13, 100%, $E$13)</f>
        <v>10.1709</v>
      </c>
      <c r="J445" s="61">
        <f>6.8764 * CHOOSE(CONTROL!$C$19, $C$13, 100%, $E$13)</f>
        <v>6.8764000000000003</v>
      </c>
      <c r="K445" s="61">
        <f>6.8783 * CHOOSE(CONTROL!$C$19, $C$13, 100%, $E$13)</f>
        <v>6.8783000000000003</v>
      </c>
    </row>
    <row r="446" spans="1:11" ht="15">
      <c r="A446" s="13">
        <v>55427</v>
      </c>
      <c r="B446" s="60">
        <f>6.125 * CHOOSE(CONTROL!$C$19, $C$13, 100%, $E$13)</f>
        <v>6.125</v>
      </c>
      <c r="C446" s="60">
        <f>6.125 * CHOOSE(CONTROL!$C$19, $C$13, 100%, $E$13)</f>
        <v>6.125</v>
      </c>
      <c r="D446" s="60">
        <f>6.1402 * CHOOSE(CONTROL!$C$19, $C$13, 100%, $E$13)</f>
        <v>6.1402000000000001</v>
      </c>
      <c r="E446" s="61">
        <f>6.9065 * CHOOSE(CONTROL!$C$19, $C$13, 100%, $E$13)</f>
        <v>6.9065000000000003</v>
      </c>
      <c r="F446" s="61">
        <f>6.9065 * CHOOSE(CONTROL!$C$19, $C$13, 100%, $E$13)</f>
        <v>6.9065000000000003</v>
      </c>
      <c r="G446" s="61">
        <f>6.9066 * CHOOSE(CONTROL!$C$19, $C$13, 100%, $E$13)</f>
        <v>6.9066000000000001</v>
      </c>
      <c r="H446" s="61">
        <f>10.1902* CHOOSE(CONTROL!$C$19, $C$13, 100%, $E$13)</f>
        <v>10.190200000000001</v>
      </c>
      <c r="I446" s="61">
        <f>10.1903 * CHOOSE(CONTROL!$C$19, $C$13, 100%, $E$13)</f>
        <v>10.190300000000001</v>
      </c>
      <c r="J446" s="61">
        <f>6.9065 * CHOOSE(CONTROL!$C$19, $C$13, 100%, $E$13)</f>
        <v>6.9065000000000003</v>
      </c>
      <c r="K446" s="61">
        <f>6.9066 * CHOOSE(CONTROL!$C$19, $C$13, 100%, $E$13)</f>
        <v>6.9066000000000001</v>
      </c>
    </row>
    <row r="447" spans="1:11" ht="15">
      <c r="A447" s="13">
        <v>55458</v>
      </c>
      <c r="B447" s="60">
        <f>6.1281 * CHOOSE(CONTROL!$C$19, $C$13, 100%, $E$13)</f>
        <v>6.1280999999999999</v>
      </c>
      <c r="C447" s="60">
        <f>6.1281 * CHOOSE(CONTROL!$C$19, $C$13, 100%, $E$13)</f>
        <v>6.1280999999999999</v>
      </c>
      <c r="D447" s="60">
        <f>6.1432 * CHOOSE(CONTROL!$C$19, $C$13, 100%, $E$13)</f>
        <v>6.1432000000000002</v>
      </c>
      <c r="E447" s="61">
        <f>6.9303 * CHOOSE(CONTROL!$C$19, $C$13, 100%, $E$13)</f>
        <v>6.9302999999999999</v>
      </c>
      <c r="F447" s="61">
        <f>6.9303 * CHOOSE(CONTROL!$C$19, $C$13, 100%, $E$13)</f>
        <v>6.9302999999999999</v>
      </c>
      <c r="G447" s="61">
        <f>6.9305 * CHOOSE(CONTROL!$C$19, $C$13, 100%, $E$13)</f>
        <v>6.9305000000000003</v>
      </c>
      <c r="H447" s="61">
        <f>10.2114* CHOOSE(CONTROL!$C$19, $C$13, 100%, $E$13)</f>
        <v>10.211399999999999</v>
      </c>
      <c r="I447" s="61">
        <f>10.2116 * CHOOSE(CONTROL!$C$19, $C$13, 100%, $E$13)</f>
        <v>10.211600000000001</v>
      </c>
      <c r="J447" s="61">
        <f>6.9303 * CHOOSE(CONTROL!$C$19, $C$13, 100%, $E$13)</f>
        <v>6.9302999999999999</v>
      </c>
      <c r="K447" s="61">
        <f>6.9305 * CHOOSE(CONTROL!$C$19, $C$13, 100%, $E$13)</f>
        <v>6.9305000000000003</v>
      </c>
    </row>
    <row r="448" spans="1:11" ht="15">
      <c r="A448" s="13">
        <v>55488</v>
      </c>
      <c r="B448" s="60">
        <f>6.1281 * CHOOSE(CONTROL!$C$19, $C$13, 100%, $E$13)</f>
        <v>6.1280999999999999</v>
      </c>
      <c r="C448" s="60">
        <f>6.1281 * CHOOSE(CONTROL!$C$19, $C$13, 100%, $E$13)</f>
        <v>6.1280999999999999</v>
      </c>
      <c r="D448" s="60">
        <f>6.1432 * CHOOSE(CONTROL!$C$19, $C$13, 100%, $E$13)</f>
        <v>6.1432000000000002</v>
      </c>
      <c r="E448" s="61">
        <f>6.876 * CHOOSE(CONTROL!$C$19, $C$13, 100%, $E$13)</f>
        <v>6.8760000000000003</v>
      </c>
      <c r="F448" s="61">
        <f>6.876 * CHOOSE(CONTROL!$C$19, $C$13, 100%, $E$13)</f>
        <v>6.8760000000000003</v>
      </c>
      <c r="G448" s="61">
        <f>6.8762 * CHOOSE(CONTROL!$C$19, $C$13, 100%, $E$13)</f>
        <v>6.8761999999999999</v>
      </c>
      <c r="H448" s="61">
        <f>10.2327* CHOOSE(CONTROL!$C$19, $C$13, 100%, $E$13)</f>
        <v>10.232699999999999</v>
      </c>
      <c r="I448" s="61">
        <f>10.2328 * CHOOSE(CONTROL!$C$19, $C$13, 100%, $E$13)</f>
        <v>10.232799999999999</v>
      </c>
      <c r="J448" s="61">
        <f>6.876 * CHOOSE(CONTROL!$C$19, $C$13, 100%, $E$13)</f>
        <v>6.8760000000000003</v>
      </c>
      <c r="K448" s="61">
        <f>6.8762 * CHOOSE(CONTROL!$C$19, $C$13, 100%, $E$13)</f>
        <v>6.8761999999999999</v>
      </c>
    </row>
    <row r="449" spans="1:11" ht="15">
      <c r="A449" s="13">
        <v>55519</v>
      </c>
      <c r="B449" s="60">
        <f>6.1802 * CHOOSE(CONTROL!$C$19, $C$13, 100%, $E$13)</f>
        <v>6.1802000000000001</v>
      </c>
      <c r="C449" s="60">
        <f>6.1802 * CHOOSE(CONTROL!$C$19, $C$13, 100%, $E$13)</f>
        <v>6.1802000000000001</v>
      </c>
      <c r="D449" s="60">
        <f>6.1954 * CHOOSE(CONTROL!$C$19, $C$13, 100%, $E$13)</f>
        <v>6.1954000000000002</v>
      </c>
      <c r="E449" s="61">
        <f>6.9816 * CHOOSE(CONTROL!$C$19, $C$13, 100%, $E$13)</f>
        <v>6.9816000000000003</v>
      </c>
      <c r="F449" s="61">
        <f>6.9816 * CHOOSE(CONTROL!$C$19, $C$13, 100%, $E$13)</f>
        <v>6.9816000000000003</v>
      </c>
      <c r="G449" s="61">
        <f>6.9817 * CHOOSE(CONTROL!$C$19, $C$13, 100%, $E$13)</f>
        <v>6.9817</v>
      </c>
      <c r="H449" s="61">
        <f>10.254* CHOOSE(CONTROL!$C$19, $C$13, 100%, $E$13)</f>
        <v>10.254</v>
      </c>
      <c r="I449" s="61">
        <f>10.2542 * CHOOSE(CONTROL!$C$19, $C$13, 100%, $E$13)</f>
        <v>10.254200000000001</v>
      </c>
      <c r="J449" s="61">
        <f>6.9816 * CHOOSE(CONTROL!$C$19, $C$13, 100%, $E$13)</f>
        <v>6.9816000000000003</v>
      </c>
      <c r="K449" s="61">
        <f>6.9817 * CHOOSE(CONTROL!$C$19, $C$13, 100%, $E$13)</f>
        <v>6.9817</v>
      </c>
    </row>
    <row r="450" spans="1:11" ht="15">
      <c r="A450" s="13">
        <v>55550</v>
      </c>
      <c r="B450" s="60">
        <f>6.1772 * CHOOSE(CONTROL!$C$19, $C$13, 100%, $E$13)</f>
        <v>6.1772</v>
      </c>
      <c r="C450" s="60">
        <f>6.1772 * CHOOSE(CONTROL!$C$19, $C$13, 100%, $E$13)</f>
        <v>6.1772</v>
      </c>
      <c r="D450" s="60">
        <f>6.1923 * CHOOSE(CONTROL!$C$19, $C$13, 100%, $E$13)</f>
        <v>6.1923000000000004</v>
      </c>
      <c r="E450" s="61">
        <f>6.8735 * CHOOSE(CONTROL!$C$19, $C$13, 100%, $E$13)</f>
        <v>6.8734999999999999</v>
      </c>
      <c r="F450" s="61">
        <f>6.8735 * CHOOSE(CONTROL!$C$19, $C$13, 100%, $E$13)</f>
        <v>6.8734999999999999</v>
      </c>
      <c r="G450" s="61">
        <f>6.8737 * CHOOSE(CONTROL!$C$19, $C$13, 100%, $E$13)</f>
        <v>6.8737000000000004</v>
      </c>
      <c r="H450" s="61">
        <f>10.2754* CHOOSE(CONTROL!$C$19, $C$13, 100%, $E$13)</f>
        <v>10.275399999999999</v>
      </c>
      <c r="I450" s="61">
        <f>10.2755 * CHOOSE(CONTROL!$C$19, $C$13, 100%, $E$13)</f>
        <v>10.275499999999999</v>
      </c>
      <c r="J450" s="61">
        <f>6.8735 * CHOOSE(CONTROL!$C$19, $C$13, 100%, $E$13)</f>
        <v>6.8734999999999999</v>
      </c>
      <c r="K450" s="61">
        <f>6.8737 * CHOOSE(CONTROL!$C$19, $C$13, 100%, $E$13)</f>
        <v>6.8737000000000004</v>
      </c>
    </row>
    <row r="451" spans="1:11" ht="15">
      <c r="A451" s="13">
        <v>55579</v>
      </c>
      <c r="B451" s="60">
        <f>6.1741 * CHOOSE(CONTROL!$C$19, $C$13, 100%, $E$13)</f>
        <v>6.1741000000000001</v>
      </c>
      <c r="C451" s="60">
        <f>6.1741 * CHOOSE(CONTROL!$C$19, $C$13, 100%, $E$13)</f>
        <v>6.1741000000000001</v>
      </c>
      <c r="D451" s="60">
        <f>6.1893 * CHOOSE(CONTROL!$C$19, $C$13, 100%, $E$13)</f>
        <v>6.1893000000000002</v>
      </c>
      <c r="E451" s="61">
        <f>6.9549 * CHOOSE(CONTROL!$C$19, $C$13, 100%, $E$13)</f>
        <v>6.9549000000000003</v>
      </c>
      <c r="F451" s="61">
        <f>6.9549 * CHOOSE(CONTROL!$C$19, $C$13, 100%, $E$13)</f>
        <v>6.9549000000000003</v>
      </c>
      <c r="G451" s="61">
        <f>6.9551 * CHOOSE(CONTROL!$C$19, $C$13, 100%, $E$13)</f>
        <v>6.9550999999999998</v>
      </c>
      <c r="H451" s="61">
        <f>10.2968* CHOOSE(CONTROL!$C$19, $C$13, 100%, $E$13)</f>
        <v>10.296799999999999</v>
      </c>
      <c r="I451" s="61">
        <f>10.2969 * CHOOSE(CONTROL!$C$19, $C$13, 100%, $E$13)</f>
        <v>10.296900000000001</v>
      </c>
      <c r="J451" s="61">
        <f>6.9549 * CHOOSE(CONTROL!$C$19, $C$13, 100%, $E$13)</f>
        <v>6.9549000000000003</v>
      </c>
      <c r="K451" s="61">
        <f>6.9551 * CHOOSE(CONTROL!$C$19, $C$13, 100%, $E$13)</f>
        <v>6.9550999999999998</v>
      </c>
    </row>
    <row r="452" spans="1:11" ht="15">
      <c r="A452" s="13">
        <v>55610</v>
      </c>
      <c r="B452" s="60">
        <f>6.1739 * CHOOSE(CONTROL!$C$19, $C$13, 100%, $E$13)</f>
        <v>6.1738999999999997</v>
      </c>
      <c r="C452" s="60">
        <f>6.1739 * CHOOSE(CONTROL!$C$19, $C$13, 100%, $E$13)</f>
        <v>6.1738999999999997</v>
      </c>
      <c r="D452" s="60">
        <f>6.1891 * CHOOSE(CONTROL!$C$19, $C$13, 100%, $E$13)</f>
        <v>6.1890999999999998</v>
      </c>
      <c r="E452" s="61">
        <f>7.0403 * CHOOSE(CONTROL!$C$19, $C$13, 100%, $E$13)</f>
        <v>7.0403000000000002</v>
      </c>
      <c r="F452" s="61">
        <f>7.0403 * CHOOSE(CONTROL!$C$19, $C$13, 100%, $E$13)</f>
        <v>7.0403000000000002</v>
      </c>
      <c r="G452" s="61">
        <f>7.0405 * CHOOSE(CONTROL!$C$19, $C$13, 100%, $E$13)</f>
        <v>7.0404999999999998</v>
      </c>
      <c r="H452" s="61">
        <f>10.3182* CHOOSE(CONTROL!$C$19, $C$13, 100%, $E$13)</f>
        <v>10.318199999999999</v>
      </c>
      <c r="I452" s="61">
        <f>10.3184 * CHOOSE(CONTROL!$C$19, $C$13, 100%, $E$13)</f>
        <v>10.3184</v>
      </c>
      <c r="J452" s="61">
        <f>7.0403 * CHOOSE(CONTROL!$C$19, $C$13, 100%, $E$13)</f>
        <v>7.0403000000000002</v>
      </c>
      <c r="K452" s="61">
        <f>7.0405 * CHOOSE(CONTROL!$C$19, $C$13, 100%, $E$13)</f>
        <v>7.0404999999999998</v>
      </c>
    </row>
    <row r="453" spans="1:11" ht="15">
      <c r="A453" s="13">
        <v>55640</v>
      </c>
      <c r="B453" s="60">
        <f>6.1739 * CHOOSE(CONTROL!$C$19, $C$13, 100%, $E$13)</f>
        <v>6.1738999999999997</v>
      </c>
      <c r="C453" s="60">
        <f>6.1739 * CHOOSE(CONTROL!$C$19, $C$13, 100%, $E$13)</f>
        <v>6.1738999999999997</v>
      </c>
      <c r="D453" s="60">
        <f>6.2043 * CHOOSE(CONTROL!$C$19, $C$13, 100%, $E$13)</f>
        <v>6.2042999999999999</v>
      </c>
      <c r="E453" s="61">
        <f>7.074 * CHOOSE(CONTROL!$C$19, $C$13, 100%, $E$13)</f>
        <v>7.0739999999999998</v>
      </c>
      <c r="F453" s="61">
        <f>7.074 * CHOOSE(CONTROL!$C$19, $C$13, 100%, $E$13)</f>
        <v>7.0739999999999998</v>
      </c>
      <c r="G453" s="61">
        <f>7.0759 * CHOOSE(CONTROL!$C$19, $C$13, 100%, $E$13)</f>
        <v>7.0758999999999999</v>
      </c>
      <c r="H453" s="61">
        <f>10.3397* CHOOSE(CONTROL!$C$19, $C$13, 100%, $E$13)</f>
        <v>10.339700000000001</v>
      </c>
      <c r="I453" s="61">
        <f>10.3416 * CHOOSE(CONTROL!$C$19, $C$13, 100%, $E$13)</f>
        <v>10.3416</v>
      </c>
      <c r="J453" s="61">
        <f>7.074 * CHOOSE(CONTROL!$C$19, $C$13, 100%, $E$13)</f>
        <v>7.0739999999999998</v>
      </c>
      <c r="K453" s="61">
        <f>7.0759 * CHOOSE(CONTROL!$C$19, $C$13, 100%, $E$13)</f>
        <v>7.0758999999999999</v>
      </c>
    </row>
    <row r="454" spans="1:11" ht="15">
      <c r="A454" s="13">
        <v>55671</v>
      </c>
      <c r="B454" s="60">
        <f>6.18 * CHOOSE(CONTROL!$C$19, $C$13, 100%, $E$13)</f>
        <v>6.18</v>
      </c>
      <c r="C454" s="60">
        <f>6.18 * CHOOSE(CONTROL!$C$19, $C$13, 100%, $E$13)</f>
        <v>6.18</v>
      </c>
      <c r="D454" s="60">
        <f>6.2104 * CHOOSE(CONTROL!$C$19, $C$13, 100%, $E$13)</f>
        <v>6.2103999999999999</v>
      </c>
      <c r="E454" s="61">
        <f>7.0446 * CHOOSE(CONTROL!$C$19, $C$13, 100%, $E$13)</f>
        <v>7.0446</v>
      </c>
      <c r="F454" s="61">
        <f>7.0446 * CHOOSE(CONTROL!$C$19, $C$13, 100%, $E$13)</f>
        <v>7.0446</v>
      </c>
      <c r="G454" s="61">
        <f>7.0465 * CHOOSE(CONTROL!$C$19, $C$13, 100%, $E$13)</f>
        <v>7.0465</v>
      </c>
      <c r="H454" s="61">
        <f>10.3612* CHOOSE(CONTROL!$C$19, $C$13, 100%, $E$13)</f>
        <v>10.3612</v>
      </c>
      <c r="I454" s="61">
        <f>10.3631 * CHOOSE(CONTROL!$C$19, $C$13, 100%, $E$13)</f>
        <v>10.363099999999999</v>
      </c>
      <c r="J454" s="61">
        <f>7.0446 * CHOOSE(CONTROL!$C$19, $C$13, 100%, $E$13)</f>
        <v>7.0446</v>
      </c>
      <c r="K454" s="61">
        <f>7.0465 * CHOOSE(CONTROL!$C$19, $C$13, 100%, $E$13)</f>
        <v>7.0465</v>
      </c>
    </row>
    <row r="455" spans="1:11" ht="15">
      <c r="A455" s="13">
        <v>55701</v>
      </c>
      <c r="B455" s="60">
        <f>6.2732 * CHOOSE(CONTROL!$C$19, $C$13, 100%, $E$13)</f>
        <v>6.2732000000000001</v>
      </c>
      <c r="C455" s="60">
        <f>6.2732 * CHOOSE(CONTROL!$C$19, $C$13, 100%, $E$13)</f>
        <v>6.2732000000000001</v>
      </c>
      <c r="D455" s="60">
        <f>6.3036 * CHOOSE(CONTROL!$C$19, $C$13, 100%, $E$13)</f>
        <v>6.3036000000000003</v>
      </c>
      <c r="E455" s="61">
        <f>7.1787 * CHOOSE(CONTROL!$C$19, $C$13, 100%, $E$13)</f>
        <v>7.1787000000000001</v>
      </c>
      <c r="F455" s="61">
        <f>7.1787 * CHOOSE(CONTROL!$C$19, $C$13, 100%, $E$13)</f>
        <v>7.1787000000000001</v>
      </c>
      <c r="G455" s="61">
        <f>7.1806 * CHOOSE(CONTROL!$C$19, $C$13, 100%, $E$13)</f>
        <v>7.1806000000000001</v>
      </c>
      <c r="H455" s="61">
        <f>10.3828* CHOOSE(CONTROL!$C$19, $C$13, 100%, $E$13)</f>
        <v>10.3828</v>
      </c>
      <c r="I455" s="61">
        <f>10.3847 * CHOOSE(CONTROL!$C$19, $C$13, 100%, $E$13)</f>
        <v>10.3847</v>
      </c>
      <c r="J455" s="61">
        <f>7.1787 * CHOOSE(CONTROL!$C$19, $C$13, 100%, $E$13)</f>
        <v>7.1787000000000001</v>
      </c>
      <c r="K455" s="61">
        <f>7.1806 * CHOOSE(CONTROL!$C$19, $C$13, 100%, $E$13)</f>
        <v>7.1806000000000001</v>
      </c>
    </row>
    <row r="456" spans="1:11" ht="15">
      <c r="A456" s="13">
        <v>55732</v>
      </c>
      <c r="B456" s="60">
        <f>6.2799 * CHOOSE(CONTROL!$C$19, $C$13, 100%, $E$13)</f>
        <v>6.2798999999999996</v>
      </c>
      <c r="C456" s="60">
        <f>6.2799 * CHOOSE(CONTROL!$C$19, $C$13, 100%, $E$13)</f>
        <v>6.2798999999999996</v>
      </c>
      <c r="D456" s="60">
        <f>6.3103 * CHOOSE(CONTROL!$C$19, $C$13, 100%, $E$13)</f>
        <v>6.3102999999999998</v>
      </c>
      <c r="E456" s="61">
        <f>7.0824 * CHOOSE(CONTROL!$C$19, $C$13, 100%, $E$13)</f>
        <v>7.0823999999999998</v>
      </c>
      <c r="F456" s="61">
        <f>7.0824 * CHOOSE(CONTROL!$C$19, $C$13, 100%, $E$13)</f>
        <v>7.0823999999999998</v>
      </c>
      <c r="G456" s="61">
        <f>7.0843 * CHOOSE(CONTROL!$C$19, $C$13, 100%, $E$13)</f>
        <v>7.0842999999999998</v>
      </c>
      <c r="H456" s="61">
        <f>10.4045* CHOOSE(CONTROL!$C$19, $C$13, 100%, $E$13)</f>
        <v>10.404500000000001</v>
      </c>
      <c r="I456" s="61">
        <f>10.4064 * CHOOSE(CONTROL!$C$19, $C$13, 100%, $E$13)</f>
        <v>10.4064</v>
      </c>
      <c r="J456" s="61">
        <f>7.0824 * CHOOSE(CONTROL!$C$19, $C$13, 100%, $E$13)</f>
        <v>7.0823999999999998</v>
      </c>
      <c r="K456" s="61">
        <f>7.0843 * CHOOSE(CONTROL!$C$19, $C$13, 100%, $E$13)</f>
        <v>7.0842999999999998</v>
      </c>
    </row>
    <row r="457" spans="1:11" ht="15">
      <c r="A457" s="13">
        <v>55763</v>
      </c>
      <c r="B457" s="60">
        <f>6.2769 * CHOOSE(CONTROL!$C$19, $C$13, 100%, $E$13)</f>
        <v>6.2769000000000004</v>
      </c>
      <c r="C457" s="60">
        <f>6.2769 * CHOOSE(CONTROL!$C$19, $C$13, 100%, $E$13)</f>
        <v>6.2769000000000004</v>
      </c>
      <c r="D457" s="60">
        <f>6.3072 * CHOOSE(CONTROL!$C$19, $C$13, 100%, $E$13)</f>
        <v>6.3071999999999999</v>
      </c>
      <c r="E457" s="61">
        <f>7.0691 * CHOOSE(CONTROL!$C$19, $C$13, 100%, $E$13)</f>
        <v>7.0690999999999997</v>
      </c>
      <c r="F457" s="61">
        <f>7.0691 * CHOOSE(CONTROL!$C$19, $C$13, 100%, $E$13)</f>
        <v>7.0690999999999997</v>
      </c>
      <c r="G457" s="61">
        <f>7.071 * CHOOSE(CONTROL!$C$19, $C$13, 100%, $E$13)</f>
        <v>7.0709999999999997</v>
      </c>
      <c r="H457" s="61">
        <f>10.4261* CHOOSE(CONTROL!$C$19, $C$13, 100%, $E$13)</f>
        <v>10.4261</v>
      </c>
      <c r="I457" s="61">
        <f>10.428 * CHOOSE(CONTROL!$C$19, $C$13, 100%, $E$13)</f>
        <v>10.428000000000001</v>
      </c>
      <c r="J457" s="61">
        <f>7.0691 * CHOOSE(CONTROL!$C$19, $C$13, 100%, $E$13)</f>
        <v>7.0690999999999997</v>
      </c>
      <c r="K457" s="61">
        <f>7.071 * CHOOSE(CONTROL!$C$19, $C$13, 100%, $E$13)</f>
        <v>7.0709999999999997</v>
      </c>
    </row>
    <row r="458" spans="1:11" ht="15">
      <c r="A458" s="13">
        <v>55793</v>
      </c>
      <c r="B458" s="60">
        <f>6.2806 * CHOOSE(CONTROL!$C$19, $C$13, 100%, $E$13)</f>
        <v>6.2805999999999997</v>
      </c>
      <c r="C458" s="60">
        <f>6.2806 * CHOOSE(CONTROL!$C$19, $C$13, 100%, $E$13)</f>
        <v>6.2805999999999997</v>
      </c>
      <c r="D458" s="60">
        <f>6.2958 * CHOOSE(CONTROL!$C$19, $C$13, 100%, $E$13)</f>
        <v>6.2957999999999998</v>
      </c>
      <c r="E458" s="61">
        <f>7.1005 * CHOOSE(CONTROL!$C$19, $C$13, 100%, $E$13)</f>
        <v>7.1005000000000003</v>
      </c>
      <c r="F458" s="61">
        <f>7.1005 * CHOOSE(CONTROL!$C$19, $C$13, 100%, $E$13)</f>
        <v>7.1005000000000003</v>
      </c>
      <c r="G458" s="61">
        <f>7.1007 * CHOOSE(CONTROL!$C$19, $C$13, 100%, $E$13)</f>
        <v>7.1006999999999998</v>
      </c>
      <c r="H458" s="61">
        <f>10.4479* CHOOSE(CONTROL!$C$19, $C$13, 100%, $E$13)</f>
        <v>10.447900000000001</v>
      </c>
      <c r="I458" s="61">
        <f>10.448 * CHOOSE(CONTROL!$C$19, $C$13, 100%, $E$13)</f>
        <v>10.448</v>
      </c>
      <c r="J458" s="61">
        <f>7.1005 * CHOOSE(CONTROL!$C$19, $C$13, 100%, $E$13)</f>
        <v>7.1005000000000003</v>
      </c>
      <c r="K458" s="61">
        <f>7.1007 * CHOOSE(CONTROL!$C$19, $C$13, 100%, $E$13)</f>
        <v>7.1006999999999998</v>
      </c>
    </row>
    <row r="459" spans="1:11" ht="15">
      <c r="A459" s="13">
        <v>55824</v>
      </c>
      <c r="B459" s="60">
        <f>6.2837 * CHOOSE(CONTROL!$C$19, $C$13, 100%, $E$13)</f>
        <v>6.2836999999999996</v>
      </c>
      <c r="C459" s="60">
        <f>6.2837 * CHOOSE(CONTROL!$C$19, $C$13, 100%, $E$13)</f>
        <v>6.2836999999999996</v>
      </c>
      <c r="D459" s="60">
        <f>6.2989 * CHOOSE(CONTROL!$C$19, $C$13, 100%, $E$13)</f>
        <v>6.2988999999999997</v>
      </c>
      <c r="E459" s="61">
        <f>7.1251 * CHOOSE(CONTROL!$C$19, $C$13, 100%, $E$13)</f>
        <v>7.1250999999999998</v>
      </c>
      <c r="F459" s="61">
        <f>7.1251 * CHOOSE(CONTROL!$C$19, $C$13, 100%, $E$13)</f>
        <v>7.1250999999999998</v>
      </c>
      <c r="G459" s="61">
        <f>7.1252 * CHOOSE(CONTROL!$C$19, $C$13, 100%, $E$13)</f>
        <v>7.1252000000000004</v>
      </c>
      <c r="H459" s="61">
        <f>10.4696* CHOOSE(CONTROL!$C$19, $C$13, 100%, $E$13)</f>
        <v>10.4696</v>
      </c>
      <c r="I459" s="61">
        <f>10.4698 * CHOOSE(CONTROL!$C$19, $C$13, 100%, $E$13)</f>
        <v>10.469799999999999</v>
      </c>
      <c r="J459" s="61">
        <f>7.1251 * CHOOSE(CONTROL!$C$19, $C$13, 100%, $E$13)</f>
        <v>7.1250999999999998</v>
      </c>
      <c r="K459" s="61">
        <f>7.1252 * CHOOSE(CONTROL!$C$19, $C$13, 100%, $E$13)</f>
        <v>7.1252000000000004</v>
      </c>
    </row>
    <row r="460" spans="1:11" ht="15">
      <c r="A460" s="13">
        <v>55854</v>
      </c>
      <c r="B460" s="60">
        <f>6.2837 * CHOOSE(CONTROL!$C$19, $C$13, 100%, $E$13)</f>
        <v>6.2836999999999996</v>
      </c>
      <c r="C460" s="60">
        <f>6.2837 * CHOOSE(CONTROL!$C$19, $C$13, 100%, $E$13)</f>
        <v>6.2836999999999996</v>
      </c>
      <c r="D460" s="60">
        <f>6.2989 * CHOOSE(CONTROL!$C$19, $C$13, 100%, $E$13)</f>
        <v>6.2988999999999997</v>
      </c>
      <c r="E460" s="61">
        <f>7.069 * CHOOSE(CONTROL!$C$19, $C$13, 100%, $E$13)</f>
        <v>7.069</v>
      </c>
      <c r="F460" s="61">
        <f>7.069 * CHOOSE(CONTROL!$C$19, $C$13, 100%, $E$13)</f>
        <v>7.069</v>
      </c>
      <c r="G460" s="61">
        <f>7.0692 * CHOOSE(CONTROL!$C$19, $C$13, 100%, $E$13)</f>
        <v>7.0692000000000004</v>
      </c>
      <c r="H460" s="61">
        <f>10.4914* CHOOSE(CONTROL!$C$19, $C$13, 100%, $E$13)</f>
        <v>10.491400000000001</v>
      </c>
      <c r="I460" s="61">
        <f>10.4916 * CHOOSE(CONTROL!$C$19, $C$13, 100%, $E$13)</f>
        <v>10.4916</v>
      </c>
      <c r="J460" s="61">
        <f>7.069 * CHOOSE(CONTROL!$C$19, $C$13, 100%, $E$13)</f>
        <v>7.069</v>
      </c>
      <c r="K460" s="61">
        <f>7.0692 * CHOOSE(CONTROL!$C$19, $C$13, 100%, $E$13)</f>
        <v>7.0692000000000004</v>
      </c>
    </row>
    <row r="461" spans="1:11" ht="15">
      <c r="A461" s="13">
        <v>55885</v>
      </c>
      <c r="B461" s="60">
        <f>6.337 * CHOOSE(CONTROL!$C$19, $C$13, 100%, $E$13)</f>
        <v>6.3369999999999997</v>
      </c>
      <c r="C461" s="60">
        <f>6.337 * CHOOSE(CONTROL!$C$19, $C$13, 100%, $E$13)</f>
        <v>6.3369999999999997</v>
      </c>
      <c r="D461" s="60">
        <f>6.3522 * CHOOSE(CONTROL!$C$19, $C$13, 100%, $E$13)</f>
        <v>6.3521999999999998</v>
      </c>
      <c r="E461" s="61">
        <f>7.1777 * CHOOSE(CONTROL!$C$19, $C$13, 100%, $E$13)</f>
        <v>7.1776999999999997</v>
      </c>
      <c r="F461" s="61">
        <f>7.1777 * CHOOSE(CONTROL!$C$19, $C$13, 100%, $E$13)</f>
        <v>7.1776999999999997</v>
      </c>
      <c r="G461" s="61">
        <f>7.1778 * CHOOSE(CONTROL!$C$19, $C$13, 100%, $E$13)</f>
        <v>7.1778000000000004</v>
      </c>
      <c r="H461" s="61">
        <f>10.5133* CHOOSE(CONTROL!$C$19, $C$13, 100%, $E$13)</f>
        <v>10.513299999999999</v>
      </c>
      <c r="I461" s="61">
        <f>10.5135 * CHOOSE(CONTROL!$C$19, $C$13, 100%, $E$13)</f>
        <v>10.513500000000001</v>
      </c>
      <c r="J461" s="61">
        <f>7.1777 * CHOOSE(CONTROL!$C$19, $C$13, 100%, $E$13)</f>
        <v>7.1776999999999997</v>
      </c>
      <c r="K461" s="61">
        <f>7.1778 * CHOOSE(CONTROL!$C$19, $C$13, 100%, $E$13)</f>
        <v>7.1778000000000004</v>
      </c>
    </row>
    <row r="462" spans="1:11" ht="15">
      <c r="A462" s="13">
        <v>55916</v>
      </c>
      <c r="B462" s="60">
        <f>6.334 * CHOOSE(CONTROL!$C$19, $C$13, 100%, $E$13)</f>
        <v>6.3339999999999996</v>
      </c>
      <c r="C462" s="60">
        <f>6.334 * CHOOSE(CONTROL!$C$19, $C$13, 100%, $E$13)</f>
        <v>6.3339999999999996</v>
      </c>
      <c r="D462" s="60">
        <f>6.3492 * CHOOSE(CONTROL!$C$19, $C$13, 100%, $E$13)</f>
        <v>6.3491999999999997</v>
      </c>
      <c r="E462" s="61">
        <f>7.0663 * CHOOSE(CONTROL!$C$19, $C$13, 100%, $E$13)</f>
        <v>7.0663</v>
      </c>
      <c r="F462" s="61">
        <f>7.0663 * CHOOSE(CONTROL!$C$19, $C$13, 100%, $E$13)</f>
        <v>7.0663</v>
      </c>
      <c r="G462" s="61">
        <f>7.0664 * CHOOSE(CONTROL!$C$19, $C$13, 100%, $E$13)</f>
        <v>7.0663999999999998</v>
      </c>
      <c r="H462" s="61">
        <f>10.5352* CHOOSE(CONTROL!$C$19, $C$13, 100%, $E$13)</f>
        <v>10.5352</v>
      </c>
      <c r="I462" s="61">
        <f>10.5354 * CHOOSE(CONTROL!$C$19, $C$13, 100%, $E$13)</f>
        <v>10.535399999999999</v>
      </c>
      <c r="J462" s="61">
        <f>7.0663 * CHOOSE(CONTROL!$C$19, $C$13, 100%, $E$13)</f>
        <v>7.0663</v>
      </c>
      <c r="K462" s="61">
        <f>7.0664 * CHOOSE(CONTROL!$C$19, $C$13, 100%, $E$13)</f>
        <v>7.0663999999999998</v>
      </c>
    </row>
    <row r="463" spans="1:11" ht="15">
      <c r="A463" s="13">
        <v>55944</v>
      </c>
      <c r="B463" s="60">
        <f>6.331 * CHOOSE(CONTROL!$C$19, $C$13, 100%, $E$13)</f>
        <v>6.3310000000000004</v>
      </c>
      <c r="C463" s="60">
        <f>6.331 * CHOOSE(CONTROL!$C$19, $C$13, 100%, $E$13)</f>
        <v>6.3310000000000004</v>
      </c>
      <c r="D463" s="60">
        <f>6.3461 * CHOOSE(CONTROL!$C$19, $C$13, 100%, $E$13)</f>
        <v>6.3460999999999999</v>
      </c>
      <c r="E463" s="61">
        <f>7.1503 * CHOOSE(CONTROL!$C$19, $C$13, 100%, $E$13)</f>
        <v>7.1502999999999997</v>
      </c>
      <c r="F463" s="61">
        <f>7.1503 * CHOOSE(CONTROL!$C$19, $C$13, 100%, $E$13)</f>
        <v>7.1502999999999997</v>
      </c>
      <c r="G463" s="61">
        <f>7.1505 * CHOOSE(CONTROL!$C$19, $C$13, 100%, $E$13)</f>
        <v>7.1505000000000001</v>
      </c>
      <c r="H463" s="61">
        <f>10.5571* CHOOSE(CONTROL!$C$19, $C$13, 100%, $E$13)</f>
        <v>10.5571</v>
      </c>
      <c r="I463" s="61">
        <f>10.5573 * CHOOSE(CONTROL!$C$19, $C$13, 100%, $E$13)</f>
        <v>10.5573</v>
      </c>
      <c r="J463" s="61">
        <f>7.1503 * CHOOSE(CONTROL!$C$19, $C$13, 100%, $E$13)</f>
        <v>7.1502999999999997</v>
      </c>
      <c r="K463" s="61">
        <f>7.1505 * CHOOSE(CONTROL!$C$19, $C$13, 100%, $E$13)</f>
        <v>7.1505000000000001</v>
      </c>
    </row>
    <row r="464" spans="1:11" ht="15">
      <c r="A464" s="13">
        <v>55975</v>
      </c>
      <c r="B464" s="60">
        <f>6.3309 * CHOOSE(CONTROL!$C$19, $C$13, 100%, $E$13)</f>
        <v>6.3308999999999997</v>
      </c>
      <c r="C464" s="60">
        <f>6.3309 * CHOOSE(CONTROL!$C$19, $C$13, 100%, $E$13)</f>
        <v>6.3308999999999997</v>
      </c>
      <c r="D464" s="60">
        <f>6.3461 * CHOOSE(CONTROL!$C$19, $C$13, 100%, $E$13)</f>
        <v>6.3460999999999999</v>
      </c>
      <c r="E464" s="61">
        <f>7.2386 * CHOOSE(CONTROL!$C$19, $C$13, 100%, $E$13)</f>
        <v>7.2385999999999999</v>
      </c>
      <c r="F464" s="61">
        <f>7.2386 * CHOOSE(CONTROL!$C$19, $C$13, 100%, $E$13)</f>
        <v>7.2385999999999999</v>
      </c>
      <c r="G464" s="61">
        <f>7.2388 * CHOOSE(CONTROL!$C$19, $C$13, 100%, $E$13)</f>
        <v>7.2388000000000003</v>
      </c>
      <c r="H464" s="61">
        <f>10.5791* CHOOSE(CONTROL!$C$19, $C$13, 100%, $E$13)</f>
        <v>10.5791</v>
      </c>
      <c r="I464" s="61">
        <f>10.5793 * CHOOSE(CONTROL!$C$19, $C$13, 100%, $E$13)</f>
        <v>10.5793</v>
      </c>
      <c r="J464" s="61">
        <f>7.2386 * CHOOSE(CONTROL!$C$19, $C$13, 100%, $E$13)</f>
        <v>7.2385999999999999</v>
      </c>
      <c r="K464" s="61">
        <f>7.2388 * CHOOSE(CONTROL!$C$19, $C$13, 100%, $E$13)</f>
        <v>7.2388000000000003</v>
      </c>
    </row>
    <row r="465" spans="1:11" ht="15">
      <c r="A465" s="13">
        <v>56005</v>
      </c>
      <c r="B465" s="60">
        <f>6.3309 * CHOOSE(CONTROL!$C$19, $C$13, 100%, $E$13)</f>
        <v>6.3308999999999997</v>
      </c>
      <c r="C465" s="60">
        <f>6.3309 * CHOOSE(CONTROL!$C$19, $C$13, 100%, $E$13)</f>
        <v>6.3308999999999997</v>
      </c>
      <c r="D465" s="60">
        <f>6.3613 * CHOOSE(CONTROL!$C$19, $C$13, 100%, $E$13)</f>
        <v>6.3613</v>
      </c>
      <c r="E465" s="61">
        <f>7.2733 * CHOOSE(CONTROL!$C$19, $C$13, 100%, $E$13)</f>
        <v>7.2732999999999999</v>
      </c>
      <c r="F465" s="61">
        <f>7.2733 * CHOOSE(CONTROL!$C$19, $C$13, 100%, $E$13)</f>
        <v>7.2732999999999999</v>
      </c>
      <c r="G465" s="61">
        <f>7.2752 * CHOOSE(CONTROL!$C$19, $C$13, 100%, $E$13)</f>
        <v>7.2751999999999999</v>
      </c>
      <c r="H465" s="61">
        <f>10.6012* CHOOSE(CONTROL!$C$19, $C$13, 100%, $E$13)</f>
        <v>10.6012</v>
      </c>
      <c r="I465" s="61">
        <f>10.6031 * CHOOSE(CONTROL!$C$19, $C$13, 100%, $E$13)</f>
        <v>10.6031</v>
      </c>
      <c r="J465" s="61">
        <f>7.2733 * CHOOSE(CONTROL!$C$19, $C$13, 100%, $E$13)</f>
        <v>7.2732999999999999</v>
      </c>
      <c r="K465" s="61">
        <f>7.2752 * CHOOSE(CONTROL!$C$19, $C$13, 100%, $E$13)</f>
        <v>7.2751999999999999</v>
      </c>
    </row>
    <row r="466" spans="1:11" ht="15">
      <c r="A466" s="13">
        <v>56036</v>
      </c>
      <c r="B466" s="60">
        <f>6.337 * CHOOSE(CONTROL!$C$19, $C$13, 100%, $E$13)</f>
        <v>6.3369999999999997</v>
      </c>
      <c r="C466" s="60">
        <f>6.337 * CHOOSE(CONTROL!$C$19, $C$13, 100%, $E$13)</f>
        <v>6.3369999999999997</v>
      </c>
      <c r="D466" s="60">
        <f>6.3674 * CHOOSE(CONTROL!$C$19, $C$13, 100%, $E$13)</f>
        <v>6.3673999999999999</v>
      </c>
      <c r="E466" s="61">
        <f>7.2428 * CHOOSE(CONTROL!$C$19, $C$13, 100%, $E$13)</f>
        <v>7.2427999999999999</v>
      </c>
      <c r="F466" s="61">
        <f>7.2428 * CHOOSE(CONTROL!$C$19, $C$13, 100%, $E$13)</f>
        <v>7.2427999999999999</v>
      </c>
      <c r="G466" s="61">
        <f>7.2447 * CHOOSE(CONTROL!$C$19, $C$13, 100%, $E$13)</f>
        <v>7.2446999999999999</v>
      </c>
      <c r="H466" s="61">
        <f>10.6233* CHOOSE(CONTROL!$C$19, $C$13, 100%, $E$13)</f>
        <v>10.6233</v>
      </c>
      <c r="I466" s="61">
        <f>10.6252 * CHOOSE(CONTROL!$C$19, $C$13, 100%, $E$13)</f>
        <v>10.6252</v>
      </c>
      <c r="J466" s="61">
        <f>7.2428 * CHOOSE(CONTROL!$C$19, $C$13, 100%, $E$13)</f>
        <v>7.2427999999999999</v>
      </c>
      <c r="K466" s="61">
        <f>7.2447 * CHOOSE(CONTROL!$C$19, $C$13, 100%, $E$13)</f>
        <v>7.2446999999999999</v>
      </c>
    </row>
    <row r="467" spans="1:11" ht="15">
      <c r="A467" s="13">
        <v>56066</v>
      </c>
      <c r="B467" s="60">
        <f>6.4322 * CHOOSE(CONTROL!$C$19, $C$13, 100%, $E$13)</f>
        <v>6.4321999999999999</v>
      </c>
      <c r="C467" s="60">
        <f>6.4322 * CHOOSE(CONTROL!$C$19, $C$13, 100%, $E$13)</f>
        <v>6.4321999999999999</v>
      </c>
      <c r="D467" s="60">
        <f>6.4626 * CHOOSE(CONTROL!$C$19, $C$13, 100%, $E$13)</f>
        <v>6.4626000000000001</v>
      </c>
      <c r="E467" s="61">
        <f>7.3803 * CHOOSE(CONTROL!$C$19, $C$13, 100%, $E$13)</f>
        <v>7.3803000000000001</v>
      </c>
      <c r="F467" s="61">
        <f>7.3803 * CHOOSE(CONTROL!$C$19, $C$13, 100%, $E$13)</f>
        <v>7.3803000000000001</v>
      </c>
      <c r="G467" s="61">
        <f>7.3822 * CHOOSE(CONTROL!$C$19, $C$13, 100%, $E$13)</f>
        <v>7.3822000000000001</v>
      </c>
      <c r="H467" s="61">
        <f>10.6454* CHOOSE(CONTROL!$C$19, $C$13, 100%, $E$13)</f>
        <v>10.6454</v>
      </c>
      <c r="I467" s="61">
        <f>10.6473 * CHOOSE(CONTROL!$C$19, $C$13, 100%, $E$13)</f>
        <v>10.6473</v>
      </c>
      <c r="J467" s="61">
        <f>7.3803 * CHOOSE(CONTROL!$C$19, $C$13, 100%, $E$13)</f>
        <v>7.3803000000000001</v>
      </c>
      <c r="K467" s="61">
        <f>7.3822 * CHOOSE(CONTROL!$C$19, $C$13, 100%, $E$13)</f>
        <v>7.3822000000000001</v>
      </c>
    </row>
    <row r="468" spans="1:11" ht="15">
      <c r="A468" s="13">
        <v>56097</v>
      </c>
      <c r="B468" s="60">
        <f>6.4389 * CHOOSE(CONTROL!$C$19, $C$13, 100%, $E$13)</f>
        <v>6.4389000000000003</v>
      </c>
      <c r="C468" s="60">
        <f>6.4389 * CHOOSE(CONTROL!$C$19, $C$13, 100%, $E$13)</f>
        <v>6.4389000000000003</v>
      </c>
      <c r="D468" s="60">
        <f>6.4693 * CHOOSE(CONTROL!$C$19, $C$13, 100%, $E$13)</f>
        <v>6.4692999999999996</v>
      </c>
      <c r="E468" s="61">
        <f>7.2809 * CHOOSE(CONTROL!$C$19, $C$13, 100%, $E$13)</f>
        <v>7.2808999999999999</v>
      </c>
      <c r="F468" s="61">
        <f>7.2809 * CHOOSE(CONTROL!$C$19, $C$13, 100%, $E$13)</f>
        <v>7.2808999999999999</v>
      </c>
      <c r="G468" s="61">
        <f>7.2828 * CHOOSE(CONTROL!$C$19, $C$13, 100%, $E$13)</f>
        <v>7.2827999999999999</v>
      </c>
      <c r="H468" s="61">
        <f>10.6676* CHOOSE(CONTROL!$C$19, $C$13, 100%, $E$13)</f>
        <v>10.6676</v>
      </c>
      <c r="I468" s="61">
        <f>10.6695 * CHOOSE(CONTROL!$C$19, $C$13, 100%, $E$13)</f>
        <v>10.669499999999999</v>
      </c>
      <c r="J468" s="61">
        <f>7.2809 * CHOOSE(CONTROL!$C$19, $C$13, 100%, $E$13)</f>
        <v>7.2808999999999999</v>
      </c>
      <c r="K468" s="61">
        <f>7.2828 * CHOOSE(CONTROL!$C$19, $C$13, 100%, $E$13)</f>
        <v>7.2827999999999999</v>
      </c>
    </row>
    <row r="469" spans="1:11" ht="15">
      <c r="A469" s="13">
        <v>56128</v>
      </c>
      <c r="B469" s="60">
        <f>6.4359 * CHOOSE(CONTROL!$C$19, $C$13, 100%, $E$13)</f>
        <v>6.4359000000000002</v>
      </c>
      <c r="C469" s="60">
        <f>6.4359 * CHOOSE(CONTROL!$C$19, $C$13, 100%, $E$13)</f>
        <v>6.4359000000000002</v>
      </c>
      <c r="D469" s="60">
        <f>6.4662 * CHOOSE(CONTROL!$C$19, $C$13, 100%, $E$13)</f>
        <v>6.4661999999999997</v>
      </c>
      <c r="E469" s="61">
        <f>7.2672 * CHOOSE(CONTROL!$C$19, $C$13, 100%, $E$13)</f>
        <v>7.2671999999999999</v>
      </c>
      <c r="F469" s="61">
        <f>7.2672 * CHOOSE(CONTROL!$C$19, $C$13, 100%, $E$13)</f>
        <v>7.2671999999999999</v>
      </c>
      <c r="G469" s="61">
        <f>7.2691 * CHOOSE(CONTROL!$C$19, $C$13, 100%, $E$13)</f>
        <v>7.2690999999999999</v>
      </c>
      <c r="H469" s="61">
        <f>10.6898* CHOOSE(CONTROL!$C$19, $C$13, 100%, $E$13)</f>
        <v>10.6898</v>
      </c>
      <c r="I469" s="61">
        <f>10.6917 * CHOOSE(CONTROL!$C$19, $C$13, 100%, $E$13)</f>
        <v>10.691700000000001</v>
      </c>
      <c r="J469" s="61">
        <f>7.2672 * CHOOSE(CONTROL!$C$19, $C$13, 100%, $E$13)</f>
        <v>7.2671999999999999</v>
      </c>
      <c r="K469" s="61">
        <f>7.2691 * CHOOSE(CONTROL!$C$19, $C$13, 100%, $E$13)</f>
        <v>7.2690999999999999</v>
      </c>
    </row>
    <row r="470" spans="1:11" ht="15">
      <c r="A470" s="13">
        <v>56158</v>
      </c>
      <c r="B470" s="60">
        <f>6.4402 * CHOOSE(CONTROL!$C$19, $C$13, 100%, $E$13)</f>
        <v>6.4401999999999999</v>
      </c>
      <c r="C470" s="60">
        <f>6.4402 * CHOOSE(CONTROL!$C$19, $C$13, 100%, $E$13)</f>
        <v>6.4401999999999999</v>
      </c>
      <c r="D470" s="60">
        <f>6.4554 * CHOOSE(CONTROL!$C$19, $C$13, 100%, $E$13)</f>
        <v>6.4554</v>
      </c>
      <c r="E470" s="61">
        <f>7.3001 * CHOOSE(CONTROL!$C$19, $C$13, 100%, $E$13)</f>
        <v>7.3000999999999996</v>
      </c>
      <c r="F470" s="61">
        <f>7.3001 * CHOOSE(CONTROL!$C$19, $C$13, 100%, $E$13)</f>
        <v>7.3000999999999996</v>
      </c>
      <c r="G470" s="61">
        <f>7.3002 * CHOOSE(CONTROL!$C$19, $C$13, 100%, $E$13)</f>
        <v>7.3002000000000002</v>
      </c>
      <c r="H470" s="61">
        <f>10.7121* CHOOSE(CONTROL!$C$19, $C$13, 100%, $E$13)</f>
        <v>10.7121</v>
      </c>
      <c r="I470" s="61">
        <f>10.7122 * CHOOSE(CONTROL!$C$19, $C$13, 100%, $E$13)</f>
        <v>10.712199999999999</v>
      </c>
      <c r="J470" s="61">
        <f>7.3001 * CHOOSE(CONTROL!$C$19, $C$13, 100%, $E$13)</f>
        <v>7.3000999999999996</v>
      </c>
      <c r="K470" s="61">
        <f>7.3002 * CHOOSE(CONTROL!$C$19, $C$13, 100%, $E$13)</f>
        <v>7.3002000000000002</v>
      </c>
    </row>
    <row r="471" spans="1:11" ht="15">
      <c r="A471" s="13">
        <v>56189</v>
      </c>
      <c r="B471" s="60">
        <f>6.4433 * CHOOSE(CONTROL!$C$19, $C$13, 100%, $E$13)</f>
        <v>6.4432999999999998</v>
      </c>
      <c r="C471" s="60">
        <f>6.4433 * CHOOSE(CONTROL!$C$19, $C$13, 100%, $E$13)</f>
        <v>6.4432999999999998</v>
      </c>
      <c r="D471" s="60">
        <f>6.4585 * CHOOSE(CONTROL!$C$19, $C$13, 100%, $E$13)</f>
        <v>6.4584999999999999</v>
      </c>
      <c r="E471" s="61">
        <f>7.3253 * CHOOSE(CONTROL!$C$19, $C$13, 100%, $E$13)</f>
        <v>7.3253000000000004</v>
      </c>
      <c r="F471" s="61">
        <f>7.3253 * CHOOSE(CONTROL!$C$19, $C$13, 100%, $E$13)</f>
        <v>7.3253000000000004</v>
      </c>
      <c r="G471" s="61">
        <f>7.3255 * CHOOSE(CONTROL!$C$19, $C$13, 100%, $E$13)</f>
        <v>7.3254999999999999</v>
      </c>
      <c r="H471" s="61">
        <f>10.7344* CHOOSE(CONTROL!$C$19, $C$13, 100%, $E$13)</f>
        <v>10.734400000000001</v>
      </c>
      <c r="I471" s="61">
        <f>10.7346 * CHOOSE(CONTROL!$C$19, $C$13, 100%, $E$13)</f>
        <v>10.7346</v>
      </c>
      <c r="J471" s="61">
        <f>7.3253 * CHOOSE(CONTROL!$C$19, $C$13, 100%, $E$13)</f>
        <v>7.3253000000000004</v>
      </c>
      <c r="K471" s="61">
        <f>7.3255 * CHOOSE(CONTROL!$C$19, $C$13, 100%, $E$13)</f>
        <v>7.3254999999999999</v>
      </c>
    </row>
    <row r="472" spans="1:11" ht="15">
      <c r="A472" s="13">
        <v>56219</v>
      </c>
      <c r="B472" s="60">
        <f>6.4433 * CHOOSE(CONTROL!$C$19, $C$13, 100%, $E$13)</f>
        <v>6.4432999999999998</v>
      </c>
      <c r="C472" s="60">
        <f>6.4433 * CHOOSE(CONTROL!$C$19, $C$13, 100%, $E$13)</f>
        <v>6.4432999999999998</v>
      </c>
      <c r="D472" s="60">
        <f>6.4585 * CHOOSE(CONTROL!$C$19, $C$13, 100%, $E$13)</f>
        <v>6.4584999999999999</v>
      </c>
      <c r="E472" s="61">
        <f>7.2675 * CHOOSE(CONTROL!$C$19, $C$13, 100%, $E$13)</f>
        <v>7.2675000000000001</v>
      </c>
      <c r="F472" s="61">
        <f>7.2675 * CHOOSE(CONTROL!$C$19, $C$13, 100%, $E$13)</f>
        <v>7.2675000000000001</v>
      </c>
      <c r="G472" s="61">
        <f>7.2677 * CHOOSE(CONTROL!$C$19, $C$13, 100%, $E$13)</f>
        <v>7.2676999999999996</v>
      </c>
      <c r="H472" s="61">
        <f>10.7568* CHOOSE(CONTROL!$C$19, $C$13, 100%, $E$13)</f>
        <v>10.7568</v>
      </c>
      <c r="I472" s="61">
        <f>10.7569 * CHOOSE(CONTROL!$C$19, $C$13, 100%, $E$13)</f>
        <v>10.7569</v>
      </c>
      <c r="J472" s="61">
        <f>7.2675 * CHOOSE(CONTROL!$C$19, $C$13, 100%, $E$13)</f>
        <v>7.2675000000000001</v>
      </c>
      <c r="K472" s="61">
        <f>7.2677 * CHOOSE(CONTROL!$C$19, $C$13, 100%, $E$13)</f>
        <v>7.2676999999999996</v>
      </c>
    </row>
    <row r="473" spans="1:11" ht="15">
      <c r="A473" s="13">
        <v>56250</v>
      </c>
      <c r="B473" s="60">
        <f>6.4979 * CHOOSE(CONTROL!$C$19, $C$13, 100%, $E$13)</f>
        <v>6.4978999999999996</v>
      </c>
      <c r="C473" s="60">
        <f>6.4979 * CHOOSE(CONTROL!$C$19, $C$13, 100%, $E$13)</f>
        <v>6.4978999999999996</v>
      </c>
      <c r="D473" s="60">
        <f>6.513 * CHOOSE(CONTROL!$C$19, $C$13, 100%, $E$13)</f>
        <v>6.5129999999999999</v>
      </c>
      <c r="E473" s="61">
        <f>7.3793 * CHOOSE(CONTROL!$C$19, $C$13, 100%, $E$13)</f>
        <v>7.3792999999999997</v>
      </c>
      <c r="F473" s="61">
        <f>7.3793 * CHOOSE(CONTROL!$C$19, $C$13, 100%, $E$13)</f>
        <v>7.3792999999999997</v>
      </c>
      <c r="G473" s="61">
        <f>7.3794 * CHOOSE(CONTROL!$C$19, $C$13, 100%, $E$13)</f>
        <v>7.3794000000000004</v>
      </c>
      <c r="H473" s="61">
        <f>10.7792* CHOOSE(CONTROL!$C$19, $C$13, 100%, $E$13)</f>
        <v>10.779199999999999</v>
      </c>
      <c r="I473" s="61">
        <f>10.7793 * CHOOSE(CONTROL!$C$19, $C$13, 100%, $E$13)</f>
        <v>10.779299999999999</v>
      </c>
      <c r="J473" s="61">
        <f>7.3793 * CHOOSE(CONTROL!$C$19, $C$13, 100%, $E$13)</f>
        <v>7.3792999999999997</v>
      </c>
      <c r="K473" s="61">
        <f>7.3794 * CHOOSE(CONTROL!$C$19, $C$13, 100%, $E$13)</f>
        <v>7.3794000000000004</v>
      </c>
    </row>
    <row r="474" spans="1:11" ht="15">
      <c r="A474" s="13">
        <v>56281</v>
      </c>
      <c r="B474" s="60">
        <f>6.4948 * CHOOSE(CONTROL!$C$19, $C$13, 100%, $E$13)</f>
        <v>6.4947999999999997</v>
      </c>
      <c r="C474" s="60">
        <f>6.4948 * CHOOSE(CONTROL!$C$19, $C$13, 100%, $E$13)</f>
        <v>6.4947999999999997</v>
      </c>
      <c r="D474" s="60">
        <f>6.51 * CHOOSE(CONTROL!$C$19, $C$13, 100%, $E$13)</f>
        <v>6.51</v>
      </c>
      <c r="E474" s="61">
        <f>7.2644 * CHOOSE(CONTROL!$C$19, $C$13, 100%, $E$13)</f>
        <v>7.2644000000000002</v>
      </c>
      <c r="F474" s="61">
        <f>7.2644 * CHOOSE(CONTROL!$C$19, $C$13, 100%, $E$13)</f>
        <v>7.2644000000000002</v>
      </c>
      <c r="G474" s="61">
        <f>7.2646 * CHOOSE(CONTROL!$C$19, $C$13, 100%, $E$13)</f>
        <v>7.2645999999999997</v>
      </c>
      <c r="H474" s="61">
        <f>10.8016* CHOOSE(CONTROL!$C$19, $C$13, 100%, $E$13)</f>
        <v>10.801600000000001</v>
      </c>
      <c r="I474" s="61">
        <f>10.8018 * CHOOSE(CONTROL!$C$19, $C$13, 100%, $E$13)</f>
        <v>10.8018</v>
      </c>
      <c r="J474" s="61">
        <f>7.2644 * CHOOSE(CONTROL!$C$19, $C$13, 100%, $E$13)</f>
        <v>7.2644000000000002</v>
      </c>
      <c r="K474" s="61">
        <f>7.2646 * CHOOSE(CONTROL!$C$19, $C$13, 100%, $E$13)</f>
        <v>7.2645999999999997</v>
      </c>
    </row>
    <row r="475" spans="1:11" ht="15">
      <c r="A475" s="13">
        <v>56309</v>
      </c>
      <c r="B475" s="60">
        <f>6.4918 * CHOOSE(CONTROL!$C$19, $C$13, 100%, $E$13)</f>
        <v>6.4917999999999996</v>
      </c>
      <c r="C475" s="60">
        <f>6.4918 * CHOOSE(CONTROL!$C$19, $C$13, 100%, $E$13)</f>
        <v>6.4917999999999996</v>
      </c>
      <c r="D475" s="60">
        <f>6.507 * CHOOSE(CONTROL!$C$19, $C$13, 100%, $E$13)</f>
        <v>6.5069999999999997</v>
      </c>
      <c r="E475" s="61">
        <f>7.3512 * CHOOSE(CONTROL!$C$19, $C$13, 100%, $E$13)</f>
        <v>7.3512000000000004</v>
      </c>
      <c r="F475" s="61">
        <f>7.3512 * CHOOSE(CONTROL!$C$19, $C$13, 100%, $E$13)</f>
        <v>7.3512000000000004</v>
      </c>
      <c r="G475" s="61">
        <f>7.3513 * CHOOSE(CONTROL!$C$19, $C$13, 100%, $E$13)</f>
        <v>7.3513000000000002</v>
      </c>
      <c r="H475" s="61">
        <f>10.8241* CHOOSE(CONTROL!$C$19, $C$13, 100%, $E$13)</f>
        <v>10.8241</v>
      </c>
      <c r="I475" s="61">
        <f>10.8243 * CHOOSE(CONTROL!$C$19, $C$13, 100%, $E$13)</f>
        <v>10.824299999999999</v>
      </c>
      <c r="J475" s="61">
        <f>7.3512 * CHOOSE(CONTROL!$C$19, $C$13, 100%, $E$13)</f>
        <v>7.3512000000000004</v>
      </c>
      <c r="K475" s="61">
        <f>7.3513 * CHOOSE(CONTROL!$C$19, $C$13, 100%, $E$13)</f>
        <v>7.3513000000000002</v>
      </c>
    </row>
    <row r="476" spans="1:11" ht="15">
      <c r="A476" s="13">
        <v>56340</v>
      </c>
      <c r="B476" s="60">
        <f>6.4919 * CHOOSE(CONTROL!$C$19, $C$13, 100%, $E$13)</f>
        <v>6.4919000000000002</v>
      </c>
      <c r="C476" s="60">
        <f>6.4919 * CHOOSE(CONTROL!$C$19, $C$13, 100%, $E$13)</f>
        <v>6.4919000000000002</v>
      </c>
      <c r="D476" s="60">
        <f>6.5071 * CHOOSE(CONTROL!$C$19, $C$13, 100%, $E$13)</f>
        <v>6.5071000000000003</v>
      </c>
      <c r="E476" s="61">
        <f>7.4424 * CHOOSE(CONTROL!$C$19, $C$13, 100%, $E$13)</f>
        <v>7.4424000000000001</v>
      </c>
      <c r="F476" s="61">
        <f>7.4424 * CHOOSE(CONTROL!$C$19, $C$13, 100%, $E$13)</f>
        <v>7.4424000000000001</v>
      </c>
      <c r="G476" s="61">
        <f>7.4426 * CHOOSE(CONTROL!$C$19, $C$13, 100%, $E$13)</f>
        <v>7.4425999999999997</v>
      </c>
      <c r="H476" s="61">
        <f>10.8467* CHOOSE(CONTROL!$C$19, $C$13, 100%, $E$13)</f>
        <v>10.8467</v>
      </c>
      <c r="I476" s="61">
        <f>10.8468 * CHOOSE(CONTROL!$C$19, $C$13, 100%, $E$13)</f>
        <v>10.8468</v>
      </c>
      <c r="J476" s="61">
        <f>7.4424 * CHOOSE(CONTROL!$C$19, $C$13, 100%, $E$13)</f>
        <v>7.4424000000000001</v>
      </c>
      <c r="K476" s="61">
        <f>7.4426 * CHOOSE(CONTROL!$C$19, $C$13, 100%, $E$13)</f>
        <v>7.4425999999999997</v>
      </c>
    </row>
    <row r="477" spans="1:11" ht="15">
      <c r="A477" s="13">
        <v>56370</v>
      </c>
      <c r="B477" s="60">
        <f>6.4919 * CHOOSE(CONTROL!$C$19, $C$13, 100%, $E$13)</f>
        <v>6.4919000000000002</v>
      </c>
      <c r="C477" s="60">
        <f>6.4919 * CHOOSE(CONTROL!$C$19, $C$13, 100%, $E$13)</f>
        <v>6.4919000000000002</v>
      </c>
      <c r="D477" s="60">
        <f>6.5223 * CHOOSE(CONTROL!$C$19, $C$13, 100%, $E$13)</f>
        <v>6.5223000000000004</v>
      </c>
      <c r="E477" s="61">
        <f>7.4782 * CHOOSE(CONTROL!$C$19, $C$13, 100%, $E$13)</f>
        <v>7.4782000000000002</v>
      </c>
      <c r="F477" s="61">
        <f>7.4782 * CHOOSE(CONTROL!$C$19, $C$13, 100%, $E$13)</f>
        <v>7.4782000000000002</v>
      </c>
      <c r="G477" s="61">
        <f>7.4801 * CHOOSE(CONTROL!$C$19, $C$13, 100%, $E$13)</f>
        <v>7.4801000000000002</v>
      </c>
      <c r="H477" s="61">
        <f>10.8693* CHOOSE(CONTROL!$C$19, $C$13, 100%, $E$13)</f>
        <v>10.869300000000001</v>
      </c>
      <c r="I477" s="61">
        <f>10.8712 * CHOOSE(CONTROL!$C$19, $C$13, 100%, $E$13)</f>
        <v>10.8712</v>
      </c>
      <c r="J477" s="61">
        <f>7.4782 * CHOOSE(CONTROL!$C$19, $C$13, 100%, $E$13)</f>
        <v>7.4782000000000002</v>
      </c>
      <c r="K477" s="61">
        <f>7.4801 * CHOOSE(CONTROL!$C$19, $C$13, 100%, $E$13)</f>
        <v>7.4801000000000002</v>
      </c>
    </row>
    <row r="478" spans="1:11" ht="15">
      <c r="A478" s="13">
        <v>56401</v>
      </c>
      <c r="B478" s="60">
        <f>6.498 * CHOOSE(CONTROL!$C$19, $C$13, 100%, $E$13)</f>
        <v>6.4980000000000002</v>
      </c>
      <c r="C478" s="60">
        <f>6.498 * CHOOSE(CONTROL!$C$19, $C$13, 100%, $E$13)</f>
        <v>6.4980000000000002</v>
      </c>
      <c r="D478" s="60">
        <f>6.5284 * CHOOSE(CONTROL!$C$19, $C$13, 100%, $E$13)</f>
        <v>6.5284000000000004</v>
      </c>
      <c r="E478" s="61">
        <f>7.4466 * CHOOSE(CONTROL!$C$19, $C$13, 100%, $E$13)</f>
        <v>7.4466000000000001</v>
      </c>
      <c r="F478" s="61">
        <f>7.4466 * CHOOSE(CONTROL!$C$19, $C$13, 100%, $E$13)</f>
        <v>7.4466000000000001</v>
      </c>
      <c r="G478" s="61">
        <f>7.4485 * CHOOSE(CONTROL!$C$19, $C$13, 100%, $E$13)</f>
        <v>7.4485000000000001</v>
      </c>
      <c r="H478" s="61">
        <f>10.8919* CHOOSE(CONTROL!$C$19, $C$13, 100%, $E$13)</f>
        <v>10.8919</v>
      </c>
      <c r="I478" s="61">
        <f>10.8938 * CHOOSE(CONTROL!$C$19, $C$13, 100%, $E$13)</f>
        <v>10.893800000000001</v>
      </c>
      <c r="J478" s="61">
        <f>7.4466 * CHOOSE(CONTROL!$C$19, $C$13, 100%, $E$13)</f>
        <v>7.4466000000000001</v>
      </c>
      <c r="K478" s="61">
        <f>7.4485 * CHOOSE(CONTROL!$C$19, $C$13, 100%, $E$13)</f>
        <v>7.4485000000000001</v>
      </c>
    </row>
    <row r="479" spans="1:11" ht="15">
      <c r="A479" s="13">
        <v>56431</v>
      </c>
      <c r="B479" s="60">
        <f>6.5953 * CHOOSE(CONTROL!$C$19, $C$13, 100%, $E$13)</f>
        <v>6.5952999999999999</v>
      </c>
      <c r="C479" s="60">
        <f>6.5953 * CHOOSE(CONTROL!$C$19, $C$13, 100%, $E$13)</f>
        <v>6.5952999999999999</v>
      </c>
      <c r="D479" s="60">
        <f>6.6256 * CHOOSE(CONTROL!$C$19, $C$13, 100%, $E$13)</f>
        <v>6.6256000000000004</v>
      </c>
      <c r="E479" s="61">
        <f>7.5877 * CHOOSE(CONTROL!$C$19, $C$13, 100%, $E$13)</f>
        <v>7.5876999999999999</v>
      </c>
      <c r="F479" s="61">
        <f>7.5877 * CHOOSE(CONTROL!$C$19, $C$13, 100%, $E$13)</f>
        <v>7.5876999999999999</v>
      </c>
      <c r="G479" s="61">
        <f>7.5896 * CHOOSE(CONTROL!$C$19, $C$13, 100%, $E$13)</f>
        <v>7.5895999999999999</v>
      </c>
      <c r="H479" s="61">
        <f>10.9146* CHOOSE(CONTROL!$C$19, $C$13, 100%, $E$13)</f>
        <v>10.9146</v>
      </c>
      <c r="I479" s="61">
        <f>10.9165 * CHOOSE(CONTROL!$C$19, $C$13, 100%, $E$13)</f>
        <v>10.916499999999999</v>
      </c>
      <c r="J479" s="61">
        <f>7.5877 * CHOOSE(CONTROL!$C$19, $C$13, 100%, $E$13)</f>
        <v>7.5876999999999999</v>
      </c>
      <c r="K479" s="61">
        <f>7.5896 * CHOOSE(CONTROL!$C$19, $C$13, 100%, $E$13)</f>
        <v>7.5895999999999999</v>
      </c>
    </row>
    <row r="480" spans="1:11" ht="15">
      <c r="A480" s="13">
        <v>56462</v>
      </c>
      <c r="B480" s="60">
        <f>6.6019 * CHOOSE(CONTROL!$C$19, $C$13, 100%, $E$13)</f>
        <v>6.6018999999999997</v>
      </c>
      <c r="C480" s="60">
        <f>6.6019 * CHOOSE(CONTROL!$C$19, $C$13, 100%, $E$13)</f>
        <v>6.6018999999999997</v>
      </c>
      <c r="D480" s="60">
        <f>6.6323 * CHOOSE(CONTROL!$C$19, $C$13, 100%, $E$13)</f>
        <v>6.6322999999999999</v>
      </c>
      <c r="E480" s="61">
        <f>7.485 * CHOOSE(CONTROL!$C$19, $C$13, 100%, $E$13)</f>
        <v>7.4850000000000003</v>
      </c>
      <c r="F480" s="61">
        <f>7.485 * CHOOSE(CONTROL!$C$19, $C$13, 100%, $E$13)</f>
        <v>7.4850000000000003</v>
      </c>
      <c r="G480" s="61">
        <f>7.4869 * CHOOSE(CONTROL!$C$19, $C$13, 100%, $E$13)</f>
        <v>7.4869000000000003</v>
      </c>
      <c r="H480" s="61">
        <f>10.9373* CHOOSE(CONTROL!$C$19, $C$13, 100%, $E$13)</f>
        <v>10.9373</v>
      </c>
      <c r="I480" s="61">
        <f>10.9392 * CHOOSE(CONTROL!$C$19, $C$13, 100%, $E$13)</f>
        <v>10.9392</v>
      </c>
      <c r="J480" s="61">
        <f>7.485 * CHOOSE(CONTROL!$C$19, $C$13, 100%, $E$13)</f>
        <v>7.4850000000000003</v>
      </c>
      <c r="K480" s="61">
        <f>7.4869 * CHOOSE(CONTROL!$C$19, $C$13, 100%, $E$13)</f>
        <v>7.4869000000000003</v>
      </c>
    </row>
    <row r="481" spans="1:11" ht="15">
      <c r="A481" s="13">
        <v>56493</v>
      </c>
      <c r="B481" s="60">
        <f>6.5989 * CHOOSE(CONTROL!$C$19, $C$13, 100%, $E$13)</f>
        <v>6.5989000000000004</v>
      </c>
      <c r="C481" s="60">
        <f>6.5989 * CHOOSE(CONTROL!$C$19, $C$13, 100%, $E$13)</f>
        <v>6.5989000000000004</v>
      </c>
      <c r="D481" s="60">
        <f>6.6293 * CHOOSE(CONTROL!$C$19, $C$13, 100%, $E$13)</f>
        <v>6.6292999999999997</v>
      </c>
      <c r="E481" s="61">
        <f>7.4709 * CHOOSE(CONTROL!$C$19, $C$13, 100%, $E$13)</f>
        <v>7.4709000000000003</v>
      </c>
      <c r="F481" s="61">
        <f>7.4709 * CHOOSE(CONTROL!$C$19, $C$13, 100%, $E$13)</f>
        <v>7.4709000000000003</v>
      </c>
      <c r="G481" s="61">
        <f>7.4728 * CHOOSE(CONTROL!$C$19, $C$13, 100%, $E$13)</f>
        <v>7.4728000000000003</v>
      </c>
      <c r="H481" s="61">
        <f>10.9601* CHOOSE(CONTROL!$C$19, $C$13, 100%, $E$13)</f>
        <v>10.960100000000001</v>
      </c>
      <c r="I481" s="61">
        <f>10.962 * CHOOSE(CONTROL!$C$19, $C$13, 100%, $E$13)</f>
        <v>10.962</v>
      </c>
      <c r="J481" s="61">
        <f>7.4709 * CHOOSE(CONTROL!$C$19, $C$13, 100%, $E$13)</f>
        <v>7.4709000000000003</v>
      </c>
      <c r="K481" s="61">
        <f>7.4728 * CHOOSE(CONTROL!$C$19, $C$13, 100%, $E$13)</f>
        <v>7.4728000000000003</v>
      </c>
    </row>
    <row r="482" spans="1:11" ht="15">
      <c r="A482" s="13">
        <v>56523</v>
      </c>
      <c r="B482" s="60">
        <f>6.6039 * CHOOSE(CONTROL!$C$19, $C$13, 100%, $E$13)</f>
        <v>6.6039000000000003</v>
      </c>
      <c r="C482" s="60">
        <f>6.6039 * CHOOSE(CONTROL!$C$19, $C$13, 100%, $E$13)</f>
        <v>6.6039000000000003</v>
      </c>
      <c r="D482" s="60">
        <f>6.6191 * CHOOSE(CONTROL!$C$19, $C$13, 100%, $E$13)</f>
        <v>6.6191000000000004</v>
      </c>
      <c r="E482" s="61">
        <f>7.5052 * CHOOSE(CONTROL!$C$19, $C$13, 100%, $E$13)</f>
        <v>7.5052000000000003</v>
      </c>
      <c r="F482" s="61">
        <f>7.5052 * CHOOSE(CONTROL!$C$19, $C$13, 100%, $E$13)</f>
        <v>7.5052000000000003</v>
      </c>
      <c r="G482" s="61">
        <f>7.5054 * CHOOSE(CONTROL!$C$19, $C$13, 100%, $E$13)</f>
        <v>7.5053999999999998</v>
      </c>
      <c r="H482" s="61">
        <f>10.983* CHOOSE(CONTROL!$C$19, $C$13, 100%, $E$13)</f>
        <v>10.983000000000001</v>
      </c>
      <c r="I482" s="61">
        <f>10.9831 * CHOOSE(CONTROL!$C$19, $C$13, 100%, $E$13)</f>
        <v>10.9831</v>
      </c>
      <c r="J482" s="61">
        <f>7.5052 * CHOOSE(CONTROL!$C$19, $C$13, 100%, $E$13)</f>
        <v>7.5052000000000003</v>
      </c>
      <c r="K482" s="61">
        <f>7.5054 * CHOOSE(CONTROL!$C$19, $C$13, 100%, $E$13)</f>
        <v>7.5053999999999998</v>
      </c>
    </row>
    <row r="483" spans="1:11" ht="15">
      <c r="A483" s="13">
        <v>56554</v>
      </c>
      <c r="B483" s="60">
        <f>6.6069 * CHOOSE(CONTROL!$C$19, $C$13, 100%, $E$13)</f>
        <v>6.6069000000000004</v>
      </c>
      <c r="C483" s="60">
        <f>6.6069 * CHOOSE(CONTROL!$C$19, $C$13, 100%, $E$13)</f>
        <v>6.6069000000000004</v>
      </c>
      <c r="D483" s="60">
        <f>6.6221 * CHOOSE(CONTROL!$C$19, $C$13, 100%, $E$13)</f>
        <v>6.6220999999999997</v>
      </c>
      <c r="E483" s="61">
        <f>7.5312 * CHOOSE(CONTROL!$C$19, $C$13, 100%, $E$13)</f>
        <v>7.5312000000000001</v>
      </c>
      <c r="F483" s="61">
        <f>7.5312 * CHOOSE(CONTROL!$C$19, $C$13, 100%, $E$13)</f>
        <v>7.5312000000000001</v>
      </c>
      <c r="G483" s="61">
        <f>7.5314 * CHOOSE(CONTROL!$C$19, $C$13, 100%, $E$13)</f>
        <v>7.5313999999999997</v>
      </c>
      <c r="H483" s="61">
        <f>11.0058* CHOOSE(CONTROL!$C$19, $C$13, 100%, $E$13)</f>
        <v>11.005800000000001</v>
      </c>
      <c r="I483" s="61">
        <f>11.006 * CHOOSE(CONTROL!$C$19, $C$13, 100%, $E$13)</f>
        <v>11.006</v>
      </c>
      <c r="J483" s="61">
        <f>7.5312 * CHOOSE(CONTROL!$C$19, $C$13, 100%, $E$13)</f>
        <v>7.5312000000000001</v>
      </c>
      <c r="K483" s="61">
        <f>7.5314 * CHOOSE(CONTROL!$C$19, $C$13, 100%, $E$13)</f>
        <v>7.5313999999999997</v>
      </c>
    </row>
    <row r="484" spans="1:11" ht="15">
      <c r="A484" s="13">
        <v>56584</v>
      </c>
      <c r="B484" s="60">
        <f>6.6069 * CHOOSE(CONTROL!$C$19, $C$13, 100%, $E$13)</f>
        <v>6.6069000000000004</v>
      </c>
      <c r="C484" s="60">
        <f>6.6069 * CHOOSE(CONTROL!$C$19, $C$13, 100%, $E$13)</f>
        <v>6.6069000000000004</v>
      </c>
      <c r="D484" s="60">
        <f>6.6221 * CHOOSE(CONTROL!$C$19, $C$13, 100%, $E$13)</f>
        <v>6.6220999999999997</v>
      </c>
      <c r="E484" s="61">
        <f>7.4715 * CHOOSE(CONTROL!$C$19, $C$13, 100%, $E$13)</f>
        <v>7.4714999999999998</v>
      </c>
      <c r="F484" s="61">
        <f>7.4715 * CHOOSE(CONTROL!$C$19, $C$13, 100%, $E$13)</f>
        <v>7.4714999999999998</v>
      </c>
      <c r="G484" s="61">
        <f>7.4717 * CHOOSE(CONTROL!$C$19, $C$13, 100%, $E$13)</f>
        <v>7.4717000000000002</v>
      </c>
      <c r="H484" s="61">
        <f>11.0288* CHOOSE(CONTROL!$C$19, $C$13, 100%, $E$13)</f>
        <v>11.0288</v>
      </c>
      <c r="I484" s="61">
        <f>11.0289 * CHOOSE(CONTROL!$C$19, $C$13, 100%, $E$13)</f>
        <v>11.0289</v>
      </c>
      <c r="J484" s="61">
        <f>7.4715 * CHOOSE(CONTROL!$C$19, $C$13, 100%, $E$13)</f>
        <v>7.4714999999999998</v>
      </c>
      <c r="K484" s="61">
        <f>7.4717 * CHOOSE(CONTROL!$C$19, $C$13, 100%, $E$13)</f>
        <v>7.4717000000000002</v>
      </c>
    </row>
    <row r="485" spans="1:11" ht="15">
      <c r="A485" s="13">
        <v>56615</v>
      </c>
      <c r="B485" s="60">
        <f>6.6628 * CHOOSE(CONTROL!$C$19, $C$13, 100%, $E$13)</f>
        <v>6.6627999999999998</v>
      </c>
      <c r="C485" s="60">
        <f>6.6628 * CHOOSE(CONTROL!$C$19, $C$13, 100%, $E$13)</f>
        <v>6.6627999999999998</v>
      </c>
      <c r="D485" s="60">
        <f>6.678 * CHOOSE(CONTROL!$C$19, $C$13, 100%, $E$13)</f>
        <v>6.6779999999999999</v>
      </c>
      <c r="E485" s="61">
        <f>7.5866 * CHOOSE(CONTROL!$C$19, $C$13, 100%, $E$13)</f>
        <v>7.5865999999999998</v>
      </c>
      <c r="F485" s="61">
        <f>7.5866 * CHOOSE(CONTROL!$C$19, $C$13, 100%, $E$13)</f>
        <v>7.5865999999999998</v>
      </c>
      <c r="G485" s="61">
        <f>7.5867 * CHOOSE(CONTROL!$C$19, $C$13, 100%, $E$13)</f>
        <v>7.5867000000000004</v>
      </c>
      <c r="H485" s="61">
        <f>11.0517* CHOOSE(CONTROL!$C$19, $C$13, 100%, $E$13)</f>
        <v>11.0517</v>
      </c>
      <c r="I485" s="61">
        <f>11.0519 * CHOOSE(CONTROL!$C$19, $C$13, 100%, $E$13)</f>
        <v>11.0519</v>
      </c>
      <c r="J485" s="61">
        <f>7.5866 * CHOOSE(CONTROL!$C$19, $C$13, 100%, $E$13)</f>
        <v>7.5865999999999998</v>
      </c>
      <c r="K485" s="61">
        <f>7.5867 * CHOOSE(CONTROL!$C$19, $C$13, 100%, $E$13)</f>
        <v>7.5867000000000004</v>
      </c>
    </row>
    <row r="486" spans="1:11" ht="15">
      <c r="A486" s="13">
        <v>56646</v>
      </c>
      <c r="B486" s="60">
        <f>6.6597 * CHOOSE(CONTROL!$C$19, $C$13, 100%, $E$13)</f>
        <v>6.6597</v>
      </c>
      <c r="C486" s="60">
        <f>6.6597 * CHOOSE(CONTROL!$C$19, $C$13, 100%, $E$13)</f>
        <v>6.6597</v>
      </c>
      <c r="D486" s="60">
        <f>6.6749 * CHOOSE(CONTROL!$C$19, $C$13, 100%, $E$13)</f>
        <v>6.6749000000000001</v>
      </c>
      <c r="E486" s="61">
        <f>7.4681 * CHOOSE(CONTROL!$C$19, $C$13, 100%, $E$13)</f>
        <v>7.4680999999999997</v>
      </c>
      <c r="F486" s="61">
        <f>7.4681 * CHOOSE(CONTROL!$C$19, $C$13, 100%, $E$13)</f>
        <v>7.4680999999999997</v>
      </c>
      <c r="G486" s="61">
        <f>7.4683 * CHOOSE(CONTROL!$C$19, $C$13, 100%, $E$13)</f>
        <v>7.4683000000000002</v>
      </c>
      <c r="H486" s="61">
        <f>11.0748* CHOOSE(CONTROL!$C$19, $C$13, 100%, $E$13)</f>
        <v>11.0748</v>
      </c>
      <c r="I486" s="61">
        <f>11.075 * CHOOSE(CONTROL!$C$19, $C$13, 100%, $E$13)</f>
        <v>11.074999999999999</v>
      </c>
      <c r="J486" s="61">
        <f>7.4681 * CHOOSE(CONTROL!$C$19, $C$13, 100%, $E$13)</f>
        <v>7.4680999999999997</v>
      </c>
      <c r="K486" s="61">
        <f>7.4683 * CHOOSE(CONTROL!$C$19, $C$13, 100%, $E$13)</f>
        <v>7.4683000000000002</v>
      </c>
    </row>
    <row r="487" spans="1:11" ht="15">
      <c r="A487" s="13">
        <v>56674</v>
      </c>
      <c r="B487" s="60">
        <f>6.6567 * CHOOSE(CONTROL!$C$19, $C$13, 100%, $E$13)</f>
        <v>6.6566999999999998</v>
      </c>
      <c r="C487" s="60">
        <f>6.6567 * CHOOSE(CONTROL!$C$19, $C$13, 100%, $E$13)</f>
        <v>6.6566999999999998</v>
      </c>
      <c r="D487" s="60">
        <f>6.6719 * CHOOSE(CONTROL!$C$19, $C$13, 100%, $E$13)</f>
        <v>6.6718999999999999</v>
      </c>
      <c r="E487" s="61">
        <f>7.5577 * CHOOSE(CONTROL!$C$19, $C$13, 100%, $E$13)</f>
        <v>7.5576999999999996</v>
      </c>
      <c r="F487" s="61">
        <f>7.5577 * CHOOSE(CONTROL!$C$19, $C$13, 100%, $E$13)</f>
        <v>7.5576999999999996</v>
      </c>
      <c r="G487" s="61">
        <f>7.5579 * CHOOSE(CONTROL!$C$19, $C$13, 100%, $E$13)</f>
        <v>7.5579000000000001</v>
      </c>
      <c r="H487" s="61">
        <f>11.0978* CHOOSE(CONTROL!$C$19, $C$13, 100%, $E$13)</f>
        <v>11.097799999999999</v>
      </c>
      <c r="I487" s="61">
        <f>11.098 * CHOOSE(CONTROL!$C$19, $C$13, 100%, $E$13)</f>
        <v>11.098000000000001</v>
      </c>
      <c r="J487" s="61">
        <f>7.5577 * CHOOSE(CONTROL!$C$19, $C$13, 100%, $E$13)</f>
        <v>7.5576999999999996</v>
      </c>
      <c r="K487" s="61">
        <f>7.5579 * CHOOSE(CONTROL!$C$19, $C$13, 100%, $E$13)</f>
        <v>7.5579000000000001</v>
      </c>
    </row>
    <row r="488" spans="1:11" ht="15">
      <c r="A488" s="13">
        <v>56705</v>
      </c>
      <c r="B488" s="60">
        <f>6.657 * CHOOSE(CONTROL!$C$19, $C$13, 100%, $E$13)</f>
        <v>6.657</v>
      </c>
      <c r="C488" s="60">
        <f>6.657 * CHOOSE(CONTROL!$C$19, $C$13, 100%, $E$13)</f>
        <v>6.657</v>
      </c>
      <c r="D488" s="60">
        <f>6.6722 * CHOOSE(CONTROL!$C$19, $C$13, 100%, $E$13)</f>
        <v>6.6722000000000001</v>
      </c>
      <c r="E488" s="61">
        <f>7.652 * CHOOSE(CONTROL!$C$19, $C$13, 100%, $E$13)</f>
        <v>7.6520000000000001</v>
      </c>
      <c r="F488" s="61">
        <f>7.652 * CHOOSE(CONTROL!$C$19, $C$13, 100%, $E$13)</f>
        <v>7.6520000000000001</v>
      </c>
      <c r="G488" s="61">
        <f>7.6521 * CHOOSE(CONTROL!$C$19, $C$13, 100%, $E$13)</f>
        <v>7.6520999999999999</v>
      </c>
      <c r="H488" s="61">
        <f>11.121* CHOOSE(CONTROL!$C$19, $C$13, 100%, $E$13)</f>
        <v>11.121</v>
      </c>
      <c r="I488" s="61">
        <f>11.1211 * CHOOSE(CONTROL!$C$19, $C$13, 100%, $E$13)</f>
        <v>11.1211</v>
      </c>
      <c r="J488" s="61">
        <f>7.652 * CHOOSE(CONTROL!$C$19, $C$13, 100%, $E$13)</f>
        <v>7.6520000000000001</v>
      </c>
      <c r="K488" s="61">
        <f>7.6521 * CHOOSE(CONTROL!$C$19, $C$13, 100%, $E$13)</f>
        <v>7.6520999999999999</v>
      </c>
    </row>
    <row r="489" spans="1:11" ht="15">
      <c r="A489" s="13">
        <v>56735</v>
      </c>
      <c r="B489" s="60">
        <f>6.657 * CHOOSE(CONTROL!$C$19, $C$13, 100%, $E$13)</f>
        <v>6.657</v>
      </c>
      <c r="C489" s="60">
        <f>6.657 * CHOOSE(CONTROL!$C$19, $C$13, 100%, $E$13)</f>
        <v>6.657</v>
      </c>
      <c r="D489" s="60">
        <f>6.6874 * CHOOSE(CONTROL!$C$19, $C$13, 100%, $E$13)</f>
        <v>6.6874000000000002</v>
      </c>
      <c r="E489" s="61">
        <f>7.6889 * CHOOSE(CONTROL!$C$19, $C$13, 100%, $E$13)</f>
        <v>7.6889000000000003</v>
      </c>
      <c r="F489" s="61">
        <f>7.6889 * CHOOSE(CONTROL!$C$19, $C$13, 100%, $E$13)</f>
        <v>7.6889000000000003</v>
      </c>
      <c r="G489" s="61">
        <f>7.6908 * CHOOSE(CONTROL!$C$19, $C$13, 100%, $E$13)</f>
        <v>7.6908000000000003</v>
      </c>
      <c r="H489" s="61">
        <f>11.1441* CHOOSE(CONTROL!$C$19, $C$13, 100%, $E$13)</f>
        <v>11.1441</v>
      </c>
      <c r="I489" s="61">
        <f>11.146 * CHOOSE(CONTROL!$C$19, $C$13, 100%, $E$13)</f>
        <v>11.146000000000001</v>
      </c>
      <c r="J489" s="61">
        <f>7.6889 * CHOOSE(CONTROL!$C$19, $C$13, 100%, $E$13)</f>
        <v>7.6889000000000003</v>
      </c>
      <c r="K489" s="61">
        <f>7.6908 * CHOOSE(CONTROL!$C$19, $C$13, 100%, $E$13)</f>
        <v>7.6908000000000003</v>
      </c>
    </row>
    <row r="490" spans="1:11" ht="15">
      <c r="A490" s="13">
        <v>56766</v>
      </c>
      <c r="B490" s="60">
        <f>6.6631 * CHOOSE(CONTROL!$C$19, $C$13, 100%, $E$13)</f>
        <v>6.6631</v>
      </c>
      <c r="C490" s="60">
        <f>6.6631 * CHOOSE(CONTROL!$C$19, $C$13, 100%, $E$13)</f>
        <v>6.6631</v>
      </c>
      <c r="D490" s="60">
        <f>6.6934 * CHOOSE(CONTROL!$C$19, $C$13, 100%, $E$13)</f>
        <v>6.6933999999999996</v>
      </c>
      <c r="E490" s="61">
        <f>7.6562 * CHOOSE(CONTROL!$C$19, $C$13, 100%, $E$13)</f>
        <v>7.6562000000000001</v>
      </c>
      <c r="F490" s="61">
        <f>7.6562 * CHOOSE(CONTROL!$C$19, $C$13, 100%, $E$13)</f>
        <v>7.6562000000000001</v>
      </c>
      <c r="G490" s="61">
        <f>7.6581 * CHOOSE(CONTROL!$C$19, $C$13, 100%, $E$13)</f>
        <v>7.6581000000000001</v>
      </c>
      <c r="H490" s="61">
        <f>11.1674* CHOOSE(CONTROL!$C$19, $C$13, 100%, $E$13)</f>
        <v>11.167400000000001</v>
      </c>
      <c r="I490" s="61">
        <f>11.1693 * CHOOSE(CONTROL!$C$19, $C$13, 100%, $E$13)</f>
        <v>11.1693</v>
      </c>
      <c r="J490" s="61">
        <f>7.6562 * CHOOSE(CONTROL!$C$19, $C$13, 100%, $E$13)</f>
        <v>7.6562000000000001</v>
      </c>
      <c r="K490" s="61">
        <f>7.6581 * CHOOSE(CONTROL!$C$19, $C$13, 100%, $E$13)</f>
        <v>7.6581000000000001</v>
      </c>
    </row>
    <row r="491" spans="1:11" ht="15">
      <c r="A491" s="13">
        <v>56796</v>
      </c>
      <c r="B491" s="60">
        <f>6.7624 * CHOOSE(CONTROL!$C$19, $C$13, 100%, $E$13)</f>
        <v>6.7624000000000004</v>
      </c>
      <c r="C491" s="60">
        <f>6.7624 * CHOOSE(CONTROL!$C$19, $C$13, 100%, $E$13)</f>
        <v>6.7624000000000004</v>
      </c>
      <c r="D491" s="60">
        <f>6.7928 * CHOOSE(CONTROL!$C$19, $C$13, 100%, $E$13)</f>
        <v>6.7927999999999997</v>
      </c>
      <c r="E491" s="61">
        <f>7.8009 * CHOOSE(CONTROL!$C$19, $C$13, 100%, $E$13)</f>
        <v>7.8009000000000004</v>
      </c>
      <c r="F491" s="61">
        <f>7.8009 * CHOOSE(CONTROL!$C$19, $C$13, 100%, $E$13)</f>
        <v>7.8009000000000004</v>
      </c>
      <c r="G491" s="61">
        <f>7.8028 * CHOOSE(CONTROL!$C$19, $C$13, 100%, $E$13)</f>
        <v>7.8028000000000004</v>
      </c>
      <c r="H491" s="61">
        <f>11.1906* CHOOSE(CONTROL!$C$19, $C$13, 100%, $E$13)</f>
        <v>11.1906</v>
      </c>
      <c r="I491" s="61">
        <f>11.1925 * CHOOSE(CONTROL!$C$19, $C$13, 100%, $E$13)</f>
        <v>11.192500000000001</v>
      </c>
      <c r="J491" s="61">
        <f>7.8009 * CHOOSE(CONTROL!$C$19, $C$13, 100%, $E$13)</f>
        <v>7.8009000000000004</v>
      </c>
      <c r="K491" s="61">
        <f>7.8028 * CHOOSE(CONTROL!$C$19, $C$13, 100%, $E$13)</f>
        <v>7.8028000000000004</v>
      </c>
    </row>
    <row r="492" spans="1:11" ht="15">
      <c r="A492" s="13">
        <v>56827</v>
      </c>
      <c r="B492" s="60">
        <f>6.7691 * CHOOSE(CONTROL!$C$19, $C$13, 100%, $E$13)</f>
        <v>6.7690999999999999</v>
      </c>
      <c r="C492" s="60">
        <f>6.7691 * CHOOSE(CONTROL!$C$19, $C$13, 100%, $E$13)</f>
        <v>6.7690999999999999</v>
      </c>
      <c r="D492" s="60">
        <f>6.7995 * CHOOSE(CONTROL!$C$19, $C$13, 100%, $E$13)</f>
        <v>6.7995000000000001</v>
      </c>
      <c r="E492" s="61">
        <f>7.6948 * CHOOSE(CONTROL!$C$19, $C$13, 100%, $E$13)</f>
        <v>7.6947999999999999</v>
      </c>
      <c r="F492" s="61">
        <f>7.6948 * CHOOSE(CONTROL!$C$19, $C$13, 100%, $E$13)</f>
        <v>7.6947999999999999</v>
      </c>
      <c r="G492" s="61">
        <f>7.6967 * CHOOSE(CONTROL!$C$19, $C$13, 100%, $E$13)</f>
        <v>7.6966999999999999</v>
      </c>
      <c r="H492" s="61">
        <f>11.2139* CHOOSE(CONTROL!$C$19, $C$13, 100%, $E$13)</f>
        <v>11.213900000000001</v>
      </c>
      <c r="I492" s="61">
        <f>11.2158 * CHOOSE(CONTROL!$C$19, $C$13, 100%, $E$13)</f>
        <v>11.2158</v>
      </c>
      <c r="J492" s="61">
        <f>7.6948 * CHOOSE(CONTROL!$C$19, $C$13, 100%, $E$13)</f>
        <v>7.6947999999999999</v>
      </c>
      <c r="K492" s="61">
        <f>7.6967 * CHOOSE(CONTROL!$C$19, $C$13, 100%, $E$13)</f>
        <v>7.6966999999999999</v>
      </c>
    </row>
    <row r="493" spans="1:11" ht="15">
      <c r="A493" s="13">
        <v>56858</v>
      </c>
      <c r="B493" s="60">
        <f>6.7661 * CHOOSE(CONTROL!$C$19, $C$13, 100%, $E$13)</f>
        <v>6.7660999999999998</v>
      </c>
      <c r="C493" s="60">
        <f>6.7661 * CHOOSE(CONTROL!$C$19, $C$13, 100%, $E$13)</f>
        <v>6.7660999999999998</v>
      </c>
      <c r="D493" s="60">
        <f>6.7964 * CHOOSE(CONTROL!$C$19, $C$13, 100%, $E$13)</f>
        <v>6.7964000000000002</v>
      </c>
      <c r="E493" s="61">
        <f>7.6803 * CHOOSE(CONTROL!$C$19, $C$13, 100%, $E$13)</f>
        <v>7.6802999999999999</v>
      </c>
      <c r="F493" s="61">
        <f>7.6803 * CHOOSE(CONTROL!$C$19, $C$13, 100%, $E$13)</f>
        <v>7.6802999999999999</v>
      </c>
      <c r="G493" s="61">
        <f>7.6822 * CHOOSE(CONTROL!$C$19, $C$13, 100%, $E$13)</f>
        <v>7.6821999999999999</v>
      </c>
      <c r="H493" s="61">
        <f>11.2373* CHOOSE(CONTROL!$C$19, $C$13, 100%, $E$13)</f>
        <v>11.237299999999999</v>
      </c>
      <c r="I493" s="61">
        <f>11.2392 * CHOOSE(CONTROL!$C$19, $C$13, 100%, $E$13)</f>
        <v>11.2392</v>
      </c>
      <c r="J493" s="61">
        <f>7.6803 * CHOOSE(CONTROL!$C$19, $C$13, 100%, $E$13)</f>
        <v>7.6802999999999999</v>
      </c>
      <c r="K493" s="61">
        <f>7.6822 * CHOOSE(CONTROL!$C$19, $C$13, 100%, $E$13)</f>
        <v>7.6821999999999999</v>
      </c>
    </row>
    <row r="494" spans="1:11" ht="15">
      <c r="A494" s="13">
        <v>56888</v>
      </c>
      <c r="B494" s="60">
        <f>6.7717 * CHOOSE(CONTROL!$C$19, $C$13, 100%, $E$13)</f>
        <v>6.7717000000000001</v>
      </c>
      <c r="C494" s="60">
        <f>6.7717 * CHOOSE(CONTROL!$C$19, $C$13, 100%, $E$13)</f>
        <v>6.7717000000000001</v>
      </c>
      <c r="D494" s="60">
        <f>6.7869 * CHOOSE(CONTROL!$C$19, $C$13, 100%, $E$13)</f>
        <v>6.7869000000000002</v>
      </c>
      <c r="E494" s="61">
        <f>7.7162 * CHOOSE(CONTROL!$C$19, $C$13, 100%, $E$13)</f>
        <v>7.7161999999999997</v>
      </c>
      <c r="F494" s="61">
        <f>7.7162 * CHOOSE(CONTROL!$C$19, $C$13, 100%, $E$13)</f>
        <v>7.7161999999999997</v>
      </c>
      <c r="G494" s="61">
        <f>7.7163 * CHOOSE(CONTROL!$C$19, $C$13, 100%, $E$13)</f>
        <v>7.7163000000000004</v>
      </c>
      <c r="H494" s="61">
        <f>11.2607* CHOOSE(CONTROL!$C$19, $C$13, 100%, $E$13)</f>
        <v>11.2607</v>
      </c>
      <c r="I494" s="61">
        <f>11.2609 * CHOOSE(CONTROL!$C$19, $C$13, 100%, $E$13)</f>
        <v>11.260899999999999</v>
      </c>
      <c r="J494" s="61">
        <f>7.7162 * CHOOSE(CONTROL!$C$19, $C$13, 100%, $E$13)</f>
        <v>7.7161999999999997</v>
      </c>
      <c r="K494" s="61">
        <f>7.7163 * CHOOSE(CONTROL!$C$19, $C$13, 100%, $E$13)</f>
        <v>7.7163000000000004</v>
      </c>
    </row>
    <row r="495" spans="1:11" ht="15">
      <c r="A495" s="13">
        <v>56919</v>
      </c>
      <c r="B495" s="60">
        <f>6.7747 * CHOOSE(CONTROL!$C$19, $C$13, 100%, $E$13)</f>
        <v>6.7747000000000002</v>
      </c>
      <c r="C495" s="60">
        <f>6.7747 * CHOOSE(CONTROL!$C$19, $C$13, 100%, $E$13)</f>
        <v>6.7747000000000002</v>
      </c>
      <c r="D495" s="60">
        <f>6.7899 * CHOOSE(CONTROL!$C$19, $C$13, 100%, $E$13)</f>
        <v>6.7899000000000003</v>
      </c>
      <c r="E495" s="61">
        <f>7.7429 * CHOOSE(CONTROL!$C$19, $C$13, 100%, $E$13)</f>
        <v>7.7428999999999997</v>
      </c>
      <c r="F495" s="61">
        <f>7.7429 * CHOOSE(CONTROL!$C$19, $C$13, 100%, $E$13)</f>
        <v>7.7428999999999997</v>
      </c>
      <c r="G495" s="61">
        <f>7.7431 * CHOOSE(CONTROL!$C$19, $C$13, 100%, $E$13)</f>
        <v>7.7431000000000001</v>
      </c>
      <c r="H495" s="61">
        <f>11.2842* CHOOSE(CONTROL!$C$19, $C$13, 100%, $E$13)</f>
        <v>11.2842</v>
      </c>
      <c r="I495" s="61">
        <f>11.2843 * CHOOSE(CONTROL!$C$19, $C$13, 100%, $E$13)</f>
        <v>11.2843</v>
      </c>
      <c r="J495" s="61">
        <f>7.7429 * CHOOSE(CONTROL!$C$19, $C$13, 100%, $E$13)</f>
        <v>7.7428999999999997</v>
      </c>
      <c r="K495" s="61">
        <f>7.7431 * CHOOSE(CONTROL!$C$19, $C$13, 100%, $E$13)</f>
        <v>7.7431000000000001</v>
      </c>
    </row>
    <row r="496" spans="1:11" ht="15">
      <c r="A496" s="13">
        <v>56949</v>
      </c>
      <c r="B496" s="60">
        <f>6.7747 * CHOOSE(CONTROL!$C$19, $C$13, 100%, $E$13)</f>
        <v>6.7747000000000002</v>
      </c>
      <c r="C496" s="60">
        <f>6.7747 * CHOOSE(CONTROL!$C$19, $C$13, 100%, $E$13)</f>
        <v>6.7747000000000002</v>
      </c>
      <c r="D496" s="60">
        <f>6.7899 * CHOOSE(CONTROL!$C$19, $C$13, 100%, $E$13)</f>
        <v>6.7899000000000003</v>
      </c>
      <c r="E496" s="61">
        <f>7.6814 * CHOOSE(CONTROL!$C$19, $C$13, 100%, $E$13)</f>
        <v>7.6814</v>
      </c>
      <c r="F496" s="61">
        <f>7.6814 * CHOOSE(CONTROL!$C$19, $C$13, 100%, $E$13)</f>
        <v>7.6814</v>
      </c>
      <c r="G496" s="61">
        <f>7.6815 * CHOOSE(CONTROL!$C$19, $C$13, 100%, $E$13)</f>
        <v>7.6814999999999998</v>
      </c>
      <c r="H496" s="61">
        <f>11.3077* CHOOSE(CONTROL!$C$19, $C$13, 100%, $E$13)</f>
        <v>11.307700000000001</v>
      </c>
      <c r="I496" s="61">
        <f>11.3078 * CHOOSE(CONTROL!$C$19, $C$13, 100%, $E$13)</f>
        <v>11.3078</v>
      </c>
      <c r="J496" s="61">
        <f>7.6814 * CHOOSE(CONTROL!$C$19, $C$13, 100%, $E$13)</f>
        <v>7.6814</v>
      </c>
      <c r="K496" s="61">
        <f>7.6815 * CHOOSE(CONTROL!$C$19, $C$13, 100%, $E$13)</f>
        <v>7.6814999999999998</v>
      </c>
    </row>
    <row r="497" spans="1:11" ht="15">
      <c r="A497" s="13">
        <v>56980</v>
      </c>
      <c r="B497" s="60">
        <f>6.8319 * CHOOSE(CONTROL!$C$19, $C$13, 100%, $E$13)</f>
        <v>6.8319000000000001</v>
      </c>
      <c r="C497" s="60">
        <f>6.8319 * CHOOSE(CONTROL!$C$19, $C$13, 100%, $E$13)</f>
        <v>6.8319000000000001</v>
      </c>
      <c r="D497" s="60">
        <f>6.8471 * CHOOSE(CONTROL!$C$19, $C$13, 100%, $E$13)</f>
        <v>6.8471000000000002</v>
      </c>
      <c r="E497" s="61">
        <f>7.7997 * CHOOSE(CONTROL!$C$19, $C$13, 100%, $E$13)</f>
        <v>7.7996999999999996</v>
      </c>
      <c r="F497" s="61">
        <f>7.7997 * CHOOSE(CONTROL!$C$19, $C$13, 100%, $E$13)</f>
        <v>7.7996999999999996</v>
      </c>
      <c r="G497" s="61">
        <f>7.7999 * CHOOSE(CONTROL!$C$19, $C$13, 100%, $E$13)</f>
        <v>7.7999000000000001</v>
      </c>
      <c r="H497" s="61">
        <f>11.3312* CHOOSE(CONTROL!$C$19, $C$13, 100%, $E$13)</f>
        <v>11.331200000000001</v>
      </c>
      <c r="I497" s="61">
        <f>11.3314 * CHOOSE(CONTROL!$C$19, $C$13, 100%, $E$13)</f>
        <v>11.3314</v>
      </c>
      <c r="J497" s="61">
        <f>7.7997 * CHOOSE(CONTROL!$C$19, $C$13, 100%, $E$13)</f>
        <v>7.7996999999999996</v>
      </c>
      <c r="K497" s="61">
        <f>7.7999 * CHOOSE(CONTROL!$C$19, $C$13, 100%, $E$13)</f>
        <v>7.7999000000000001</v>
      </c>
    </row>
    <row r="498" spans="1:11" ht="15">
      <c r="A498" s="13">
        <v>57011</v>
      </c>
      <c r="B498" s="60">
        <f>6.8289 * CHOOSE(CONTROL!$C$19, $C$13, 100%, $E$13)</f>
        <v>6.8289</v>
      </c>
      <c r="C498" s="60">
        <f>6.8289 * CHOOSE(CONTROL!$C$19, $C$13, 100%, $E$13)</f>
        <v>6.8289</v>
      </c>
      <c r="D498" s="60">
        <f>6.844 * CHOOSE(CONTROL!$C$19, $C$13, 100%, $E$13)</f>
        <v>6.8440000000000003</v>
      </c>
      <c r="E498" s="61">
        <f>7.6775 * CHOOSE(CONTROL!$C$19, $C$13, 100%, $E$13)</f>
        <v>7.6775000000000002</v>
      </c>
      <c r="F498" s="61">
        <f>7.6775 * CHOOSE(CONTROL!$C$19, $C$13, 100%, $E$13)</f>
        <v>7.6775000000000002</v>
      </c>
      <c r="G498" s="61">
        <f>7.6777 * CHOOSE(CONTROL!$C$19, $C$13, 100%, $E$13)</f>
        <v>7.6776999999999997</v>
      </c>
      <c r="H498" s="61">
        <f>11.3548* CHOOSE(CONTROL!$C$19, $C$13, 100%, $E$13)</f>
        <v>11.354799999999999</v>
      </c>
      <c r="I498" s="61">
        <f>11.355 * CHOOSE(CONTROL!$C$19, $C$13, 100%, $E$13)</f>
        <v>11.355</v>
      </c>
      <c r="J498" s="61">
        <f>7.6775 * CHOOSE(CONTROL!$C$19, $C$13, 100%, $E$13)</f>
        <v>7.6775000000000002</v>
      </c>
      <c r="K498" s="61">
        <f>7.6777 * CHOOSE(CONTROL!$C$19, $C$13, 100%, $E$13)</f>
        <v>7.6776999999999997</v>
      </c>
    </row>
    <row r="499" spans="1:11" ht="15">
      <c r="A499" s="13">
        <v>57040</v>
      </c>
      <c r="B499" s="60">
        <f>6.8258 * CHOOSE(CONTROL!$C$19, $C$13, 100%, $E$13)</f>
        <v>6.8258000000000001</v>
      </c>
      <c r="C499" s="60">
        <f>6.8258 * CHOOSE(CONTROL!$C$19, $C$13, 100%, $E$13)</f>
        <v>6.8258000000000001</v>
      </c>
      <c r="D499" s="60">
        <f>6.841 * CHOOSE(CONTROL!$C$19, $C$13, 100%, $E$13)</f>
        <v>6.8410000000000002</v>
      </c>
      <c r="E499" s="61">
        <f>7.77 * CHOOSE(CONTROL!$C$19, $C$13, 100%, $E$13)</f>
        <v>7.77</v>
      </c>
      <c r="F499" s="61">
        <f>7.77 * CHOOSE(CONTROL!$C$19, $C$13, 100%, $E$13)</f>
        <v>7.77</v>
      </c>
      <c r="G499" s="61">
        <f>7.7702 * CHOOSE(CONTROL!$C$19, $C$13, 100%, $E$13)</f>
        <v>7.7702</v>
      </c>
      <c r="H499" s="61">
        <f>11.3785* CHOOSE(CONTROL!$C$19, $C$13, 100%, $E$13)</f>
        <v>11.378500000000001</v>
      </c>
      <c r="I499" s="61">
        <f>11.3787 * CHOOSE(CONTROL!$C$19, $C$13, 100%, $E$13)</f>
        <v>11.3787</v>
      </c>
      <c r="J499" s="61">
        <f>7.77 * CHOOSE(CONTROL!$C$19, $C$13, 100%, $E$13)</f>
        <v>7.77</v>
      </c>
      <c r="K499" s="61">
        <f>7.7702 * CHOOSE(CONTROL!$C$19, $C$13, 100%, $E$13)</f>
        <v>7.7702</v>
      </c>
    </row>
    <row r="500" spans="1:11" ht="15">
      <c r="A500" s="13">
        <v>57071</v>
      </c>
      <c r="B500" s="60">
        <f>6.8263 * CHOOSE(CONTROL!$C$19, $C$13, 100%, $E$13)</f>
        <v>6.8262999999999998</v>
      </c>
      <c r="C500" s="60">
        <f>6.8263 * CHOOSE(CONTROL!$C$19, $C$13, 100%, $E$13)</f>
        <v>6.8262999999999998</v>
      </c>
      <c r="D500" s="60">
        <f>6.8415 * CHOOSE(CONTROL!$C$19, $C$13, 100%, $E$13)</f>
        <v>6.8414999999999999</v>
      </c>
      <c r="E500" s="61">
        <f>7.8675 * CHOOSE(CONTROL!$C$19, $C$13, 100%, $E$13)</f>
        <v>7.8674999999999997</v>
      </c>
      <c r="F500" s="61">
        <f>7.8675 * CHOOSE(CONTROL!$C$19, $C$13, 100%, $E$13)</f>
        <v>7.8674999999999997</v>
      </c>
      <c r="G500" s="61">
        <f>7.8676 * CHOOSE(CONTROL!$C$19, $C$13, 100%, $E$13)</f>
        <v>7.8676000000000004</v>
      </c>
      <c r="H500" s="61">
        <f>11.4022* CHOOSE(CONTROL!$C$19, $C$13, 100%, $E$13)</f>
        <v>11.402200000000001</v>
      </c>
      <c r="I500" s="61">
        <f>11.4024 * CHOOSE(CONTROL!$C$19, $C$13, 100%, $E$13)</f>
        <v>11.4024</v>
      </c>
      <c r="J500" s="61">
        <f>7.8675 * CHOOSE(CONTROL!$C$19, $C$13, 100%, $E$13)</f>
        <v>7.8674999999999997</v>
      </c>
      <c r="K500" s="61">
        <f>7.8676 * CHOOSE(CONTROL!$C$19, $C$13, 100%, $E$13)</f>
        <v>7.8676000000000004</v>
      </c>
    </row>
    <row r="501" spans="1:11" ht="15">
      <c r="A501" s="13">
        <v>57101</v>
      </c>
      <c r="B501" s="60">
        <f>6.8263 * CHOOSE(CONTROL!$C$19, $C$13, 100%, $E$13)</f>
        <v>6.8262999999999998</v>
      </c>
      <c r="C501" s="60">
        <f>6.8263 * CHOOSE(CONTROL!$C$19, $C$13, 100%, $E$13)</f>
        <v>6.8262999999999998</v>
      </c>
      <c r="D501" s="60">
        <f>6.8566 * CHOOSE(CONTROL!$C$19, $C$13, 100%, $E$13)</f>
        <v>6.8566000000000003</v>
      </c>
      <c r="E501" s="61">
        <f>7.9056 * CHOOSE(CONTROL!$C$19, $C$13, 100%, $E$13)</f>
        <v>7.9055999999999997</v>
      </c>
      <c r="F501" s="61">
        <f>7.9056 * CHOOSE(CONTROL!$C$19, $C$13, 100%, $E$13)</f>
        <v>7.9055999999999997</v>
      </c>
      <c r="G501" s="61">
        <f>7.9075 * CHOOSE(CONTROL!$C$19, $C$13, 100%, $E$13)</f>
        <v>7.9074999999999998</v>
      </c>
      <c r="H501" s="61">
        <f>11.426* CHOOSE(CONTROL!$C$19, $C$13, 100%, $E$13)</f>
        <v>11.426</v>
      </c>
      <c r="I501" s="61">
        <f>11.4279 * CHOOSE(CONTROL!$C$19, $C$13, 100%, $E$13)</f>
        <v>11.427899999999999</v>
      </c>
      <c r="J501" s="61">
        <f>7.9056 * CHOOSE(CONTROL!$C$19, $C$13, 100%, $E$13)</f>
        <v>7.9055999999999997</v>
      </c>
      <c r="K501" s="61">
        <f>7.9075 * CHOOSE(CONTROL!$C$19, $C$13, 100%, $E$13)</f>
        <v>7.9074999999999998</v>
      </c>
    </row>
    <row r="502" spans="1:11" ht="15">
      <c r="A502" s="13">
        <v>57132</v>
      </c>
      <c r="B502" s="60">
        <f>6.8323 * CHOOSE(CONTROL!$C$19, $C$13, 100%, $E$13)</f>
        <v>6.8323</v>
      </c>
      <c r="C502" s="60">
        <f>6.8323 * CHOOSE(CONTROL!$C$19, $C$13, 100%, $E$13)</f>
        <v>6.8323</v>
      </c>
      <c r="D502" s="60">
        <f>6.8627 * CHOOSE(CONTROL!$C$19, $C$13, 100%, $E$13)</f>
        <v>6.8627000000000002</v>
      </c>
      <c r="E502" s="61">
        <f>7.8717 * CHOOSE(CONTROL!$C$19, $C$13, 100%, $E$13)</f>
        <v>7.8716999999999997</v>
      </c>
      <c r="F502" s="61">
        <f>7.8717 * CHOOSE(CONTROL!$C$19, $C$13, 100%, $E$13)</f>
        <v>7.8716999999999997</v>
      </c>
      <c r="G502" s="61">
        <f>7.8736 * CHOOSE(CONTROL!$C$19, $C$13, 100%, $E$13)</f>
        <v>7.8735999999999997</v>
      </c>
      <c r="H502" s="61">
        <f>11.4498* CHOOSE(CONTROL!$C$19, $C$13, 100%, $E$13)</f>
        <v>11.4498</v>
      </c>
      <c r="I502" s="61">
        <f>11.4517 * CHOOSE(CONTROL!$C$19, $C$13, 100%, $E$13)</f>
        <v>11.451700000000001</v>
      </c>
      <c r="J502" s="61">
        <f>7.8717 * CHOOSE(CONTROL!$C$19, $C$13, 100%, $E$13)</f>
        <v>7.8716999999999997</v>
      </c>
      <c r="K502" s="61">
        <f>7.8736 * CHOOSE(CONTROL!$C$19, $C$13, 100%, $E$13)</f>
        <v>7.8735999999999997</v>
      </c>
    </row>
    <row r="503" spans="1:11" ht="15">
      <c r="A503" s="13">
        <v>57162</v>
      </c>
      <c r="B503" s="60">
        <f>6.9339 * CHOOSE(CONTROL!$C$19, $C$13, 100%, $E$13)</f>
        <v>6.9339000000000004</v>
      </c>
      <c r="C503" s="60">
        <f>6.9339 * CHOOSE(CONTROL!$C$19, $C$13, 100%, $E$13)</f>
        <v>6.9339000000000004</v>
      </c>
      <c r="D503" s="60">
        <f>6.9642 * CHOOSE(CONTROL!$C$19, $C$13, 100%, $E$13)</f>
        <v>6.9641999999999999</v>
      </c>
      <c r="E503" s="61">
        <f>8.0202 * CHOOSE(CONTROL!$C$19, $C$13, 100%, $E$13)</f>
        <v>8.0202000000000009</v>
      </c>
      <c r="F503" s="61">
        <f>8.0202 * CHOOSE(CONTROL!$C$19, $C$13, 100%, $E$13)</f>
        <v>8.0202000000000009</v>
      </c>
      <c r="G503" s="61">
        <f>8.0221 * CHOOSE(CONTROL!$C$19, $C$13, 100%, $E$13)</f>
        <v>8.0221</v>
      </c>
      <c r="H503" s="61">
        <f>11.4736* CHOOSE(CONTROL!$C$19, $C$13, 100%, $E$13)</f>
        <v>11.473599999999999</v>
      </c>
      <c r="I503" s="61">
        <f>11.4755 * CHOOSE(CONTROL!$C$19, $C$13, 100%, $E$13)</f>
        <v>11.4755</v>
      </c>
      <c r="J503" s="61">
        <f>8.0202 * CHOOSE(CONTROL!$C$19, $C$13, 100%, $E$13)</f>
        <v>8.0202000000000009</v>
      </c>
      <c r="K503" s="61">
        <f>8.0221 * CHOOSE(CONTROL!$C$19, $C$13, 100%, $E$13)</f>
        <v>8.0221</v>
      </c>
    </row>
    <row r="504" spans="1:11" ht="15">
      <c r="A504" s="13">
        <v>57193</v>
      </c>
      <c r="B504" s="60">
        <f>6.9406 * CHOOSE(CONTROL!$C$19, $C$13, 100%, $E$13)</f>
        <v>6.9405999999999999</v>
      </c>
      <c r="C504" s="60">
        <f>6.9406 * CHOOSE(CONTROL!$C$19, $C$13, 100%, $E$13)</f>
        <v>6.9405999999999999</v>
      </c>
      <c r="D504" s="60">
        <f>6.9709 * CHOOSE(CONTROL!$C$19, $C$13, 100%, $E$13)</f>
        <v>6.9709000000000003</v>
      </c>
      <c r="E504" s="61">
        <f>7.9105 * CHOOSE(CONTROL!$C$19, $C$13, 100%, $E$13)</f>
        <v>7.9104999999999999</v>
      </c>
      <c r="F504" s="61">
        <f>7.9105 * CHOOSE(CONTROL!$C$19, $C$13, 100%, $E$13)</f>
        <v>7.9104999999999999</v>
      </c>
      <c r="G504" s="61">
        <f>7.9124 * CHOOSE(CONTROL!$C$19, $C$13, 100%, $E$13)</f>
        <v>7.9123999999999999</v>
      </c>
      <c r="H504" s="61">
        <f>11.4975* CHOOSE(CONTROL!$C$19, $C$13, 100%, $E$13)</f>
        <v>11.4975</v>
      </c>
      <c r="I504" s="61">
        <f>11.4994 * CHOOSE(CONTROL!$C$19, $C$13, 100%, $E$13)</f>
        <v>11.4994</v>
      </c>
      <c r="J504" s="61">
        <f>7.9105 * CHOOSE(CONTROL!$C$19, $C$13, 100%, $E$13)</f>
        <v>7.9104999999999999</v>
      </c>
      <c r="K504" s="61">
        <f>7.9124 * CHOOSE(CONTROL!$C$19, $C$13, 100%, $E$13)</f>
        <v>7.9123999999999999</v>
      </c>
    </row>
    <row r="505" spans="1:11" ht="15">
      <c r="A505" s="13">
        <v>57224</v>
      </c>
      <c r="B505" s="60">
        <f>6.9375 * CHOOSE(CONTROL!$C$19, $C$13, 100%, $E$13)</f>
        <v>6.9375</v>
      </c>
      <c r="C505" s="60">
        <f>6.9375 * CHOOSE(CONTROL!$C$19, $C$13, 100%, $E$13)</f>
        <v>6.9375</v>
      </c>
      <c r="D505" s="60">
        <f>6.9679 * CHOOSE(CONTROL!$C$19, $C$13, 100%, $E$13)</f>
        <v>6.9679000000000002</v>
      </c>
      <c r="E505" s="61">
        <f>7.8957 * CHOOSE(CONTROL!$C$19, $C$13, 100%, $E$13)</f>
        <v>7.8956999999999997</v>
      </c>
      <c r="F505" s="61">
        <f>7.8957 * CHOOSE(CONTROL!$C$19, $C$13, 100%, $E$13)</f>
        <v>7.8956999999999997</v>
      </c>
      <c r="G505" s="61">
        <f>7.8976 * CHOOSE(CONTROL!$C$19, $C$13, 100%, $E$13)</f>
        <v>7.8975999999999997</v>
      </c>
      <c r="H505" s="61">
        <f>11.5215* CHOOSE(CONTROL!$C$19, $C$13, 100%, $E$13)</f>
        <v>11.5215</v>
      </c>
      <c r="I505" s="61">
        <f>11.5234 * CHOOSE(CONTROL!$C$19, $C$13, 100%, $E$13)</f>
        <v>11.523400000000001</v>
      </c>
      <c r="J505" s="61">
        <f>7.8957 * CHOOSE(CONTROL!$C$19, $C$13, 100%, $E$13)</f>
        <v>7.8956999999999997</v>
      </c>
      <c r="K505" s="61">
        <f>7.8976 * CHOOSE(CONTROL!$C$19, $C$13, 100%, $E$13)</f>
        <v>7.8975999999999997</v>
      </c>
    </row>
    <row r="506" spans="1:11" ht="15">
      <c r="A506" s="13">
        <v>57254</v>
      </c>
      <c r="B506" s="60">
        <f>6.9438 * CHOOSE(CONTROL!$C$19, $C$13, 100%, $E$13)</f>
        <v>6.9438000000000004</v>
      </c>
      <c r="C506" s="60">
        <f>6.9438 * CHOOSE(CONTROL!$C$19, $C$13, 100%, $E$13)</f>
        <v>6.9438000000000004</v>
      </c>
      <c r="D506" s="60">
        <f>6.959 * CHOOSE(CONTROL!$C$19, $C$13, 100%, $E$13)</f>
        <v>6.9589999999999996</v>
      </c>
      <c r="E506" s="61">
        <f>7.9331 * CHOOSE(CONTROL!$C$19, $C$13, 100%, $E$13)</f>
        <v>7.9330999999999996</v>
      </c>
      <c r="F506" s="61">
        <f>7.9331 * CHOOSE(CONTROL!$C$19, $C$13, 100%, $E$13)</f>
        <v>7.9330999999999996</v>
      </c>
      <c r="G506" s="61">
        <f>7.9332 * CHOOSE(CONTROL!$C$19, $C$13, 100%, $E$13)</f>
        <v>7.9332000000000003</v>
      </c>
      <c r="H506" s="61">
        <f>11.5455* CHOOSE(CONTROL!$C$19, $C$13, 100%, $E$13)</f>
        <v>11.545500000000001</v>
      </c>
      <c r="I506" s="61">
        <f>11.5456 * CHOOSE(CONTROL!$C$19, $C$13, 100%, $E$13)</f>
        <v>11.5456</v>
      </c>
      <c r="J506" s="61">
        <f>7.9331 * CHOOSE(CONTROL!$C$19, $C$13, 100%, $E$13)</f>
        <v>7.9330999999999996</v>
      </c>
      <c r="K506" s="61">
        <f>7.9332 * CHOOSE(CONTROL!$C$19, $C$13, 100%, $E$13)</f>
        <v>7.9332000000000003</v>
      </c>
    </row>
    <row r="507" spans="1:11" ht="15">
      <c r="A507" s="13">
        <v>57285</v>
      </c>
      <c r="B507" s="60">
        <f>6.9468 * CHOOSE(CONTROL!$C$19, $C$13, 100%, $E$13)</f>
        <v>6.9467999999999996</v>
      </c>
      <c r="C507" s="60">
        <f>6.9468 * CHOOSE(CONTROL!$C$19, $C$13, 100%, $E$13)</f>
        <v>6.9467999999999996</v>
      </c>
      <c r="D507" s="60">
        <f>6.962 * CHOOSE(CONTROL!$C$19, $C$13, 100%, $E$13)</f>
        <v>6.9619999999999997</v>
      </c>
      <c r="E507" s="61">
        <f>7.9606 * CHOOSE(CONTROL!$C$19, $C$13, 100%, $E$13)</f>
        <v>7.9606000000000003</v>
      </c>
      <c r="F507" s="61">
        <f>7.9606 * CHOOSE(CONTROL!$C$19, $C$13, 100%, $E$13)</f>
        <v>7.9606000000000003</v>
      </c>
      <c r="G507" s="61">
        <f>7.9608 * CHOOSE(CONTROL!$C$19, $C$13, 100%, $E$13)</f>
        <v>7.9607999999999999</v>
      </c>
      <c r="H507" s="61">
        <f>11.5695* CHOOSE(CONTROL!$C$19, $C$13, 100%, $E$13)</f>
        <v>11.5695</v>
      </c>
      <c r="I507" s="61">
        <f>11.5697 * CHOOSE(CONTROL!$C$19, $C$13, 100%, $E$13)</f>
        <v>11.569699999999999</v>
      </c>
      <c r="J507" s="61">
        <f>7.9606 * CHOOSE(CONTROL!$C$19, $C$13, 100%, $E$13)</f>
        <v>7.9606000000000003</v>
      </c>
      <c r="K507" s="61">
        <f>7.9608 * CHOOSE(CONTROL!$C$19, $C$13, 100%, $E$13)</f>
        <v>7.9607999999999999</v>
      </c>
    </row>
    <row r="508" spans="1:11" ht="15">
      <c r="A508" s="13">
        <v>57315</v>
      </c>
      <c r="B508" s="60">
        <f>6.9468 * CHOOSE(CONTROL!$C$19, $C$13, 100%, $E$13)</f>
        <v>6.9467999999999996</v>
      </c>
      <c r="C508" s="60">
        <f>6.9468 * CHOOSE(CONTROL!$C$19, $C$13, 100%, $E$13)</f>
        <v>6.9467999999999996</v>
      </c>
      <c r="D508" s="60">
        <f>6.962 * CHOOSE(CONTROL!$C$19, $C$13, 100%, $E$13)</f>
        <v>6.9619999999999997</v>
      </c>
      <c r="E508" s="61">
        <f>7.8971 * CHOOSE(CONTROL!$C$19, $C$13, 100%, $E$13)</f>
        <v>7.8971</v>
      </c>
      <c r="F508" s="61">
        <f>7.8971 * CHOOSE(CONTROL!$C$19, $C$13, 100%, $E$13)</f>
        <v>7.8971</v>
      </c>
      <c r="G508" s="61">
        <f>7.8972 * CHOOSE(CONTROL!$C$19, $C$13, 100%, $E$13)</f>
        <v>7.8971999999999998</v>
      </c>
      <c r="H508" s="61">
        <f>11.5936* CHOOSE(CONTROL!$C$19, $C$13, 100%, $E$13)</f>
        <v>11.5936</v>
      </c>
      <c r="I508" s="61">
        <f>11.5938 * CHOOSE(CONTROL!$C$19, $C$13, 100%, $E$13)</f>
        <v>11.5938</v>
      </c>
      <c r="J508" s="61">
        <f>7.8971 * CHOOSE(CONTROL!$C$19, $C$13, 100%, $E$13)</f>
        <v>7.8971</v>
      </c>
      <c r="K508" s="61">
        <f>7.8972 * CHOOSE(CONTROL!$C$19, $C$13, 100%, $E$13)</f>
        <v>7.8971999999999998</v>
      </c>
    </row>
    <row r="509" spans="1:11" ht="15">
      <c r="A509" s="13">
        <v>57346</v>
      </c>
      <c r="B509" s="60">
        <f>7.0053 * CHOOSE(CONTROL!$C$19, $C$13, 100%, $E$13)</f>
        <v>7.0053000000000001</v>
      </c>
      <c r="C509" s="60">
        <f>7.0053 * CHOOSE(CONTROL!$C$19, $C$13, 100%, $E$13)</f>
        <v>7.0053000000000001</v>
      </c>
      <c r="D509" s="60">
        <f>7.0205 * CHOOSE(CONTROL!$C$19, $C$13, 100%, $E$13)</f>
        <v>7.0205000000000002</v>
      </c>
      <c r="E509" s="61">
        <f>8.0188 * CHOOSE(CONTROL!$C$19, $C$13, 100%, $E$13)</f>
        <v>8.0188000000000006</v>
      </c>
      <c r="F509" s="61">
        <f>8.0188 * CHOOSE(CONTROL!$C$19, $C$13, 100%, $E$13)</f>
        <v>8.0188000000000006</v>
      </c>
      <c r="G509" s="61">
        <f>8.019 * CHOOSE(CONTROL!$C$19, $C$13, 100%, $E$13)</f>
        <v>8.0190000000000001</v>
      </c>
      <c r="H509" s="61">
        <f>11.6178* CHOOSE(CONTROL!$C$19, $C$13, 100%, $E$13)</f>
        <v>11.617800000000001</v>
      </c>
      <c r="I509" s="61">
        <f>11.618 * CHOOSE(CONTROL!$C$19, $C$13, 100%, $E$13)</f>
        <v>11.618</v>
      </c>
      <c r="J509" s="61">
        <f>8.0188 * CHOOSE(CONTROL!$C$19, $C$13, 100%, $E$13)</f>
        <v>8.0188000000000006</v>
      </c>
      <c r="K509" s="61">
        <f>8.019 * CHOOSE(CONTROL!$C$19, $C$13, 100%, $E$13)</f>
        <v>8.0190000000000001</v>
      </c>
    </row>
    <row r="510" spans="1:11" ht="15">
      <c r="A510" s="13">
        <v>57377</v>
      </c>
      <c r="B510" s="60">
        <f>7.0023 * CHOOSE(CONTROL!$C$19, $C$13, 100%, $E$13)</f>
        <v>7.0023</v>
      </c>
      <c r="C510" s="60">
        <f>7.0023 * CHOOSE(CONTROL!$C$19, $C$13, 100%, $E$13)</f>
        <v>7.0023</v>
      </c>
      <c r="D510" s="60">
        <f>7.0175 * CHOOSE(CONTROL!$C$19, $C$13, 100%, $E$13)</f>
        <v>7.0175000000000001</v>
      </c>
      <c r="E510" s="61">
        <f>7.8928 * CHOOSE(CONTROL!$C$19, $C$13, 100%, $E$13)</f>
        <v>7.8928000000000003</v>
      </c>
      <c r="F510" s="61">
        <f>7.8928 * CHOOSE(CONTROL!$C$19, $C$13, 100%, $E$13)</f>
        <v>7.8928000000000003</v>
      </c>
      <c r="G510" s="61">
        <f>7.893 * CHOOSE(CONTROL!$C$19, $C$13, 100%, $E$13)</f>
        <v>7.8929999999999998</v>
      </c>
      <c r="H510" s="61">
        <f>11.642* CHOOSE(CONTROL!$C$19, $C$13, 100%, $E$13)</f>
        <v>11.641999999999999</v>
      </c>
      <c r="I510" s="61">
        <f>11.6422 * CHOOSE(CONTROL!$C$19, $C$13, 100%, $E$13)</f>
        <v>11.642200000000001</v>
      </c>
      <c r="J510" s="61">
        <f>7.8928 * CHOOSE(CONTROL!$C$19, $C$13, 100%, $E$13)</f>
        <v>7.8928000000000003</v>
      </c>
      <c r="K510" s="61">
        <f>7.893 * CHOOSE(CONTROL!$C$19, $C$13, 100%, $E$13)</f>
        <v>7.8929999999999998</v>
      </c>
    </row>
    <row r="511" spans="1:11" ht="15">
      <c r="A511" s="13">
        <v>57405</v>
      </c>
      <c r="B511" s="60">
        <f>6.9992 * CHOOSE(CONTROL!$C$19, $C$13, 100%, $E$13)</f>
        <v>6.9992000000000001</v>
      </c>
      <c r="C511" s="60">
        <f>6.9992 * CHOOSE(CONTROL!$C$19, $C$13, 100%, $E$13)</f>
        <v>6.9992000000000001</v>
      </c>
      <c r="D511" s="60">
        <f>7.0144 * CHOOSE(CONTROL!$C$19, $C$13, 100%, $E$13)</f>
        <v>7.0144000000000002</v>
      </c>
      <c r="E511" s="61">
        <f>7.9884 * CHOOSE(CONTROL!$C$19, $C$13, 100%, $E$13)</f>
        <v>7.9884000000000004</v>
      </c>
      <c r="F511" s="61">
        <f>7.9884 * CHOOSE(CONTROL!$C$19, $C$13, 100%, $E$13)</f>
        <v>7.9884000000000004</v>
      </c>
      <c r="G511" s="61">
        <f>7.9886 * CHOOSE(CONTROL!$C$19, $C$13, 100%, $E$13)</f>
        <v>7.9885999999999999</v>
      </c>
      <c r="H511" s="61">
        <f>11.6662* CHOOSE(CONTROL!$C$19, $C$13, 100%, $E$13)</f>
        <v>11.6662</v>
      </c>
      <c r="I511" s="61">
        <f>11.6664 * CHOOSE(CONTROL!$C$19, $C$13, 100%, $E$13)</f>
        <v>11.666399999999999</v>
      </c>
      <c r="J511" s="61">
        <f>7.9884 * CHOOSE(CONTROL!$C$19, $C$13, 100%, $E$13)</f>
        <v>7.9884000000000004</v>
      </c>
      <c r="K511" s="61">
        <f>7.9886 * CHOOSE(CONTROL!$C$19, $C$13, 100%, $E$13)</f>
        <v>7.9885999999999999</v>
      </c>
    </row>
    <row r="512" spans="1:11" ht="15">
      <c r="A512" s="13">
        <v>57436</v>
      </c>
      <c r="B512" s="60">
        <f>6.9999 * CHOOSE(CONTROL!$C$19, $C$13, 100%, $E$13)</f>
        <v>6.9999000000000002</v>
      </c>
      <c r="C512" s="60">
        <f>6.9999 * CHOOSE(CONTROL!$C$19, $C$13, 100%, $E$13)</f>
        <v>6.9999000000000002</v>
      </c>
      <c r="D512" s="60">
        <f>7.015 * CHOOSE(CONTROL!$C$19, $C$13, 100%, $E$13)</f>
        <v>7.0149999999999997</v>
      </c>
      <c r="E512" s="61">
        <f>8.089 * CHOOSE(CONTROL!$C$19, $C$13, 100%, $E$13)</f>
        <v>8.0890000000000004</v>
      </c>
      <c r="F512" s="61">
        <f>8.089 * CHOOSE(CONTROL!$C$19, $C$13, 100%, $E$13)</f>
        <v>8.0890000000000004</v>
      </c>
      <c r="G512" s="61">
        <f>8.0892 * CHOOSE(CONTROL!$C$19, $C$13, 100%, $E$13)</f>
        <v>8.0891999999999999</v>
      </c>
      <c r="H512" s="61">
        <f>11.6905* CHOOSE(CONTROL!$C$19, $C$13, 100%, $E$13)</f>
        <v>11.6905</v>
      </c>
      <c r="I512" s="61">
        <f>11.6907 * CHOOSE(CONTROL!$C$19, $C$13, 100%, $E$13)</f>
        <v>11.6907</v>
      </c>
      <c r="J512" s="61">
        <f>8.089 * CHOOSE(CONTROL!$C$19, $C$13, 100%, $E$13)</f>
        <v>8.0890000000000004</v>
      </c>
      <c r="K512" s="61">
        <f>8.0892 * CHOOSE(CONTROL!$C$19, $C$13, 100%, $E$13)</f>
        <v>8.0891999999999999</v>
      </c>
    </row>
    <row r="513" spans="1:11" ht="15">
      <c r="A513" s="13">
        <v>57466</v>
      </c>
      <c r="B513" s="60">
        <f>6.9999 * CHOOSE(CONTROL!$C$19, $C$13, 100%, $E$13)</f>
        <v>6.9999000000000002</v>
      </c>
      <c r="C513" s="60">
        <f>6.9999 * CHOOSE(CONTROL!$C$19, $C$13, 100%, $E$13)</f>
        <v>6.9999000000000002</v>
      </c>
      <c r="D513" s="60">
        <f>7.0302 * CHOOSE(CONTROL!$C$19, $C$13, 100%, $E$13)</f>
        <v>7.0301999999999998</v>
      </c>
      <c r="E513" s="61">
        <f>8.1284 * CHOOSE(CONTROL!$C$19, $C$13, 100%, $E$13)</f>
        <v>8.1283999999999992</v>
      </c>
      <c r="F513" s="61">
        <f>8.1284 * CHOOSE(CONTROL!$C$19, $C$13, 100%, $E$13)</f>
        <v>8.1283999999999992</v>
      </c>
      <c r="G513" s="61">
        <f>8.1303 * CHOOSE(CONTROL!$C$19, $C$13, 100%, $E$13)</f>
        <v>8.1303000000000001</v>
      </c>
      <c r="H513" s="61">
        <f>11.7149* CHOOSE(CONTROL!$C$19, $C$13, 100%, $E$13)</f>
        <v>11.7149</v>
      </c>
      <c r="I513" s="61">
        <f>11.7168 * CHOOSE(CONTROL!$C$19, $C$13, 100%, $E$13)</f>
        <v>11.716799999999999</v>
      </c>
      <c r="J513" s="61">
        <f>8.1284 * CHOOSE(CONTROL!$C$19, $C$13, 100%, $E$13)</f>
        <v>8.1283999999999992</v>
      </c>
      <c r="K513" s="61">
        <f>8.1303 * CHOOSE(CONTROL!$C$19, $C$13, 100%, $E$13)</f>
        <v>8.1303000000000001</v>
      </c>
    </row>
    <row r="514" spans="1:11" ht="15">
      <c r="A514" s="13">
        <v>57497</v>
      </c>
      <c r="B514" s="60">
        <f>7.0059 * CHOOSE(CONTROL!$C$19, $C$13, 100%, $E$13)</f>
        <v>7.0058999999999996</v>
      </c>
      <c r="C514" s="60">
        <f>7.0059 * CHOOSE(CONTROL!$C$19, $C$13, 100%, $E$13)</f>
        <v>7.0058999999999996</v>
      </c>
      <c r="D514" s="60">
        <f>7.0363 * CHOOSE(CONTROL!$C$19, $C$13, 100%, $E$13)</f>
        <v>7.0362999999999998</v>
      </c>
      <c r="E514" s="61">
        <f>8.0933 * CHOOSE(CONTROL!$C$19, $C$13, 100%, $E$13)</f>
        <v>8.0932999999999993</v>
      </c>
      <c r="F514" s="61">
        <f>8.0933 * CHOOSE(CONTROL!$C$19, $C$13, 100%, $E$13)</f>
        <v>8.0932999999999993</v>
      </c>
      <c r="G514" s="61">
        <f>8.0952 * CHOOSE(CONTROL!$C$19, $C$13, 100%, $E$13)</f>
        <v>8.0952000000000002</v>
      </c>
      <c r="H514" s="61">
        <f>11.7393* CHOOSE(CONTROL!$C$19, $C$13, 100%, $E$13)</f>
        <v>11.7393</v>
      </c>
      <c r="I514" s="61">
        <f>11.7412 * CHOOSE(CONTROL!$C$19, $C$13, 100%, $E$13)</f>
        <v>11.741199999999999</v>
      </c>
      <c r="J514" s="61">
        <f>8.0933 * CHOOSE(CONTROL!$C$19, $C$13, 100%, $E$13)</f>
        <v>8.0932999999999993</v>
      </c>
      <c r="K514" s="61">
        <f>8.0952 * CHOOSE(CONTROL!$C$19, $C$13, 100%, $E$13)</f>
        <v>8.0952000000000002</v>
      </c>
    </row>
    <row r="515" spans="1:11" ht="15">
      <c r="A515" s="13">
        <v>57527</v>
      </c>
      <c r="B515" s="60">
        <f>7.1097 * CHOOSE(CONTROL!$C$19, $C$13, 100%, $E$13)</f>
        <v>7.1097000000000001</v>
      </c>
      <c r="C515" s="60">
        <f>7.1097 * CHOOSE(CONTROL!$C$19, $C$13, 100%, $E$13)</f>
        <v>7.1097000000000001</v>
      </c>
      <c r="D515" s="60">
        <f>7.14 * CHOOSE(CONTROL!$C$19, $C$13, 100%, $E$13)</f>
        <v>7.14</v>
      </c>
      <c r="E515" s="61">
        <f>8.2456 * CHOOSE(CONTROL!$C$19, $C$13, 100%, $E$13)</f>
        <v>8.2455999999999996</v>
      </c>
      <c r="F515" s="61">
        <f>8.2456 * CHOOSE(CONTROL!$C$19, $C$13, 100%, $E$13)</f>
        <v>8.2455999999999996</v>
      </c>
      <c r="G515" s="61">
        <f>8.2475 * CHOOSE(CONTROL!$C$19, $C$13, 100%, $E$13)</f>
        <v>8.2475000000000005</v>
      </c>
      <c r="H515" s="61">
        <f>11.7638* CHOOSE(CONTROL!$C$19, $C$13, 100%, $E$13)</f>
        <v>11.7638</v>
      </c>
      <c r="I515" s="61">
        <f>11.7657 * CHOOSE(CONTROL!$C$19, $C$13, 100%, $E$13)</f>
        <v>11.765700000000001</v>
      </c>
      <c r="J515" s="61">
        <f>8.2456 * CHOOSE(CONTROL!$C$19, $C$13, 100%, $E$13)</f>
        <v>8.2455999999999996</v>
      </c>
      <c r="K515" s="61">
        <f>8.2475 * CHOOSE(CONTROL!$C$19, $C$13, 100%, $E$13)</f>
        <v>8.2475000000000005</v>
      </c>
    </row>
    <row r="516" spans="1:11" ht="15">
      <c r="A516" s="13">
        <v>57558</v>
      </c>
      <c r="B516" s="60">
        <f>7.1163 * CHOOSE(CONTROL!$C$19, $C$13, 100%, $E$13)</f>
        <v>7.1162999999999998</v>
      </c>
      <c r="C516" s="60">
        <f>7.1163 * CHOOSE(CONTROL!$C$19, $C$13, 100%, $E$13)</f>
        <v>7.1162999999999998</v>
      </c>
      <c r="D516" s="60">
        <f>7.1467 * CHOOSE(CONTROL!$C$19, $C$13, 100%, $E$13)</f>
        <v>7.1467000000000001</v>
      </c>
      <c r="E516" s="61">
        <f>8.1323 * CHOOSE(CONTROL!$C$19, $C$13, 100%, $E$13)</f>
        <v>8.1323000000000008</v>
      </c>
      <c r="F516" s="61">
        <f>8.1323 * CHOOSE(CONTROL!$C$19, $C$13, 100%, $E$13)</f>
        <v>8.1323000000000008</v>
      </c>
      <c r="G516" s="61">
        <f>8.1342 * CHOOSE(CONTROL!$C$19, $C$13, 100%, $E$13)</f>
        <v>8.1341999999999999</v>
      </c>
      <c r="H516" s="61">
        <f>11.7883* CHOOSE(CONTROL!$C$19, $C$13, 100%, $E$13)</f>
        <v>11.7883</v>
      </c>
      <c r="I516" s="61">
        <f>11.7902 * CHOOSE(CONTROL!$C$19, $C$13, 100%, $E$13)</f>
        <v>11.7902</v>
      </c>
      <c r="J516" s="61">
        <f>8.1323 * CHOOSE(CONTROL!$C$19, $C$13, 100%, $E$13)</f>
        <v>8.1323000000000008</v>
      </c>
      <c r="K516" s="61">
        <f>8.1342 * CHOOSE(CONTROL!$C$19, $C$13, 100%, $E$13)</f>
        <v>8.1341999999999999</v>
      </c>
    </row>
    <row r="517" spans="1:11" ht="15">
      <c r="A517" s="13">
        <v>57589</v>
      </c>
      <c r="B517" s="60">
        <f>7.1133 * CHOOSE(CONTROL!$C$19, $C$13, 100%, $E$13)</f>
        <v>7.1132999999999997</v>
      </c>
      <c r="C517" s="60">
        <f>7.1133 * CHOOSE(CONTROL!$C$19, $C$13, 100%, $E$13)</f>
        <v>7.1132999999999997</v>
      </c>
      <c r="D517" s="60">
        <f>7.1437 * CHOOSE(CONTROL!$C$19, $C$13, 100%, $E$13)</f>
        <v>7.1436999999999999</v>
      </c>
      <c r="E517" s="61">
        <f>8.117 * CHOOSE(CONTROL!$C$19, $C$13, 100%, $E$13)</f>
        <v>8.1170000000000009</v>
      </c>
      <c r="F517" s="61">
        <f>8.117 * CHOOSE(CONTROL!$C$19, $C$13, 100%, $E$13)</f>
        <v>8.1170000000000009</v>
      </c>
      <c r="G517" s="61">
        <f>8.1189 * CHOOSE(CONTROL!$C$19, $C$13, 100%, $E$13)</f>
        <v>8.1189</v>
      </c>
      <c r="H517" s="61">
        <f>11.8128* CHOOSE(CONTROL!$C$19, $C$13, 100%, $E$13)</f>
        <v>11.812799999999999</v>
      </c>
      <c r="I517" s="61">
        <f>11.8147 * CHOOSE(CONTROL!$C$19, $C$13, 100%, $E$13)</f>
        <v>11.8147</v>
      </c>
      <c r="J517" s="61">
        <f>8.117 * CHOOSE(CONTROL!$C$19, $C$13, 100%, $E$13)</f>
        <v>8.1170000000000009</v>
      </c>
      <c r="K517" s="61">
        <f>8.1189 * CHOOSE(CONTROL!$C$19, $C$13, 100%, $E$13)</f>
        <v>8.1189</v>
      </c>
    </row>
    <row r="518" spans="1:11" ht="15">
      <c r="A518" s="13">
        <v>57619</v>
      </c>
      <c r="B518" s="60">
        <f>7.1202 * CHOOSE(CONTROL!$C$19, $C$13, 100%, $E$13)</f>
        <v>7.1201999999999996</v>
      </c>
      <c r="C518" s="60">
        <f>7.1202 * CHOOSE(CONTROL!$C$19, $C$13, 100%, $E$13)</f>
        <v>7.1201999999999996</v>
      </c>
      <c r="D518" s="60">
        <f>7.1354 * CHOOSE(CONTROL!$C$19, $C$13, 100%, $E$13)</f>
        <v>7.1353999999999997</v>
      </c>
      <c r="E518" s="61">
        <f>8.1561 * CHOOSE(CONTROL!$C$19, $C$13, 100%, $E$13)</f>
        <v>8.1561000000000003</v>
      </c>
      <c r="F518" s="61">
        <f>8.1561 * CHOOSE(CONTROL!$C$19, $C$13, 100%, $E$13)</f>
        <v>8.1561000000000003</v>
      </c>
      <c r="G518" s="61">
        <f>8.1562 * CHOOSE(CONTROL!$C$19, $C$13, 100%, $E$13)</f>
        <v>8.1562000000000001</v>
      </c>
      <c r="H518" s="61">
        <f>11.8374* CHOOSE(CONTROL!$C$19, $C$13, 100%, $E$13)</f>
        <v>11.837400000000001</v>
      </c>
      <c r="I518" s="61">
        <f>11.8376 * CHOOSE(CONTROL!$C$19, $C$13, 100%, $E$13)</f>
        <v>11.8376</v>
      </c>
      <c r="J518" s="61">
        <f>8.1561 * CHOOSE(CONTROL!$C$19, $C$13, 100%, $E$13)</f>
        <v>8.1561000000000003</v>
      </c>
      <c r="K518" s="61">
        <f>8.1562 * CHOOSE(CONTROL!$C$19, $C$13, 100%, $E$13)</f>
        <v>8.1562000000000001</v>
      </c>
    </row>
    <row r="519" spans="1:11" ht="15">
      <c r="A519" s="13">
        <v>57650</v>
      </c>
      <c r="B519" s="60">
        <f>7.1233 * CHOOSE(CONTROL!$C$19, $C$13, 100%, $E$13)</f>
        <v>7.1233000000000004</v>
      </c>
      <c r="C519" s="60">
        <f>7.1233 * CHOOSE(CONTROL!$C$19, $C$13, 100%, $E$13)</f>
        <v>7.1233000000000004</v>
      </c>
      <c r="D519" s="60">
        <f>7.1385 * CHOOSE(CONTROL!$C$19, $C$13, 100%, $E$13)</f>
        <v>7.1384999999999996</v>
      </c>
      <c r="E519" s="61">
        <f>8.1844 * CHOOSE(CONTROL!$C$19, $C$13, 100%, $E$13)</f>
        <v>8.1844000000000001</v>
      </c>
      <c r="F519" s="61">
        <f>8.1844 * CHOOSE(CONTROL!$C$19, $C$13, 100%, $E$13)</f>
        <v>8.1844000000000001</v>
      </c>
      <c r="G519" s="61">
        <f>8.1846 * CHOOSE(CONTROL!$C$19, $C$13, 100%, $E$13)</f>
        <v>8.1845999999999997</v>
      </c>
      <c r="H519" s="61">
        <f>11.8621* CHOOSE(CONTROL!$C$19, $C$13, 100%, $E$13)</f>
        <v>11.8621</v>
      </c>
      <c r="I519" s="61">
        <f>11.8623 * CHOOSE(CONTROL!$C$19, $C$13, 100%, $E$13)</f>
        <v>11.862299999999999</v>
      </c>
      <c r="J519" s="61">
        <f>8.1844 * CHOOSE(CONTROL!$C$19, $C$13, 100%, $E$13)</f>
        <v>8.1844000000000001</v>
      </c>
      <c r="K519" s="61">
        <f>8.1846 * CHOOSE(CONTROL!$C$19, $C$13, 100%, $E$13)</f>
        <v>8.1845999999999997</v>
      </c>
    </row>
    <row r="520" spans="1:11" ht="15">
      <c r="A520" s="13">
        <v>57680</v>
      </c>
      <c r="B520" s="60">
        <f>7.1233 * CHOOSE(CONTROL!$C$19, $C$13, 100%, $E$13)</f>
        <v>7.1233000000000004</v>
      </c>
      <c r="C520" s="60">
        <f>7.1233 * CHOOSE(CONTROL!$C$19, $C$13, 100%, $E$13)</f>
        <v>7.1233000000000004</v>
      </c>
      <c r="D520" s="60">
        <f>7.1385 * CHOOSE(CONTROL!$C$19, $C$13, 100%, $E$13)</f>
        <v>7.1384999999999996</v>
      </c>
      <c r="E520" s="61">
        <f>8.1189 * CHOOSE(CONTROL!$C$19, $C$13, 100%, $E$13)</f>
        <v>8.1189</v>
      </c>
      <c r="F520" s="61">
        <f>8.1189 * CHOOSE(CONTROL!$C$19, $C$13, 100%, $E$13)</f>
        <v>8.1189</v>
      </c>
      <c r="G520" s="61">
        <f>8.119 * CHOOSE(CONTROL!$C$19, $C$13, 100%, $E$13)</f>
        <v>8.1189999999999998</v>
      </c>
      <c r="H520" s="61">
        <f>11.8868* CHOOSE(CONTROL!$C$19, $C$13, 100%, $E$13)</f>
        <v>11.886799999999999</v>
      </c>
      <c r="I520" s="61">
        <f>11.887 * CHOOSE(CONTROL!$C$19, $C$13, 100%, $E$13)</f>
        <v>11.887</v>
      </c>
      <c r="J520" s="61">
        <f>8.1189 * CHOOSE(CONTROL!$C$19, $C$13, 100%, $E$13)</f>
        <v>8.1189</v>
      </c>
      <c r="K520" s="61">
        <f>8.119 * CHOOSE(CONTROL!$C$19, $C$13, 100%, $E$13)</f>
        <v>8.1189999999999998</v>
      </c>
    </row>
    <row r="521" spans="1:11" ht="15">
      <c r="A521" s="13">
        <v>57711</v>
      </c>
      <c r="B521" s="60">
        <f>7.1831 * CHOOSE(CONTROL!$C$19, $C$13, 100%, $E$13)</f>
        <v>7.1830999999999996</v>
      </c>
      <c r="C521" s="60">
        <f>7.1831 * CHOOSE(CONTROL!$C$19, $C$13, 100%, $E$13)</f>
        <v>7.1830999999999996</v>
      </c>
      <c r="D521" s="60">
        <f>7.1983 * CHOOSE(CONTROL!$C$19, $C$13, 100%, $E$13)</f>
        <v>7.1982999999999997</v>
      </c>
      <c r="E521" s="61">
        <f>8.2442 * CHOOSE(CONTROL!$C$19, $C$13, 100%, $E$13)</f>
        <v>8.2441999999999993</v>
      </c>
      <c r="F521" s="61">
        <f>8.2442 * CHOOSE(CONTROL!$C$19, $C$13, 100%, $E$13)</f>
        <v>8.2441999999999993</v>
      </c>
      <c r="G521" s="61">
        <f>8.2443 * CHOOSE(CONTROL!$C$19, $C$13, 100%, $E$13)</f>
        <v>8.2443000000000008</v>
      </c>
      <c r="H521" s="61">
        <f>11.9116* CHOOSE(CONTROL!$C$19, $C$13, 100%, $E$13)</f>
        <v>11.9116</v>
      </c>
      <c r="I521" s="61">
        <f>11.9118 * CHOOSE(CONTROL!$C$19, $C$13, 100%, $E$13)</f>
        <v>11.911799999999999</v>
      </c>
      <c r="J521" s="61">
        <f>8.2442 * CHOOSE(CONTROL!$C$19, $C$13, 100%, $E$13)</f>
        <v>8.2441999999999993</v>
      </c>
      <c r="K521" s="61">
        <f>8.2443 * CHOOSE(CONTROL!$C$19, $C$13, 100%, $E$13)</f>
        <v>8.2443000000000008</v>
      </c>
    </row>
    <row r="522" spans="1:11" ht="15">
      <c r="A522" s="13">
        <v>57742</v>
      </c>
      <c r="B522" s="60">
        <f>7.1801 * CHOOSE(CONTROL!$C$19, $C$13, 100%, $E$13)</f>
        <v>7.1801000000000004</v>
      </c>
      <c r="C522" s="60">
        <f>7.1801 * CHOOSE(CONTROL!$C$19, $C$13, 100%, $E$13)</f>
        <v>7.1801000000000004</v>
      </c>
      <c r="D522" s="60">
        <f>7.1953 * CHOOSE(CONTROL!$C$19, $C$13, 100%, $E$13)</f>
        <v>7.1952999999999996</v>
      </c>
      <c r="E522" s="61">
        <f>8.1142 * CHOOSE(CONTROL!$C$19, $C$13, 100%, $E$13)</f>
        <v>8.1142000000000003</v>
      </c>
      <c r="F522" s="61">
        <f>8.1142 * CHOOSE(CONTROL!$C$19, $C$13, 100%, $E$13)</f>
        <v>8.1142000000000003</v>
      </c>
      <c r="G522" s="61">
        <f>8.1144 * CHOOSE(CONTROL!$C$19, $C$13, 100%, $E$13)</f>
        <v>8.1143999999999998</v>
      </c>
      <c r="H522" s="61">
        <f>11.9364* CHOOSE(CONTROL!$C$19, $C$13, 100%, $E$13)</f>
        <v>11.936400000000001</v>
      </c>
      <c r="I522" s="61">
        <f>11.9366 * CHOOSE(CONTROL!$C$19, $C$13, 100%, $E$13)</f>
        <v>11.9366</v>
      </c>
      <c r="J522" s="61">
        <f>8.1142 * CHOOSE(CONTROL!$C$19, $C$13, 100%, $E$13)</f>
        <v>8.1142000000000003</v>
      </c>
      <c r="K522" s="61">
        <f>8.1144 * CHOOSE(CONTROL!$C$19, $C$13, 100%, $E$13)</f>
        <v>8.1143999999999998</v>
      </c>
    </row>
    <row r="523" spans="1:11" ht="15">
      <c r="A523" s="13">
        <v>57770</v>
      </c>
      <c r="B523" s="60">
        <f>7.1771 * CHOOSE(CONTROL!$C$19, $C$13, 100%, $E$13)</f>
        <v>7.1771000000000003</v>
      </c>
      <c r="C523" s="60">
        <f>7.1771 * CHOOSE(CONTROL!$C$19, $C$13, 100%, $E$13)</f>
        <v>7.1771000000000003</v>
      </c>
      <c r="D523" s="60">
        <f>7.1922 * CHOOSE(CONTROL!$C$19, $C$13, 100%, $E$13)</f>
        <v>7.1921999999999997</v>
      </c>
      <c r="E523" s="61">
        <f>8.2129 * CHOOSE(CONTROL!$C$19, $C$13, 100%, $E$13)</f>
        <v>8.2128999999999994</v>
      </c>
      <c r="F523" s="61">
        <f>8.2129 * CHOOSE(CONTROL!$C$19, $C$13, 100%, $E$13)</f>
        <v>8.2128999999999994</v>
      </c>
      <c r="G523" s="61">
        <f>8.2131 * CHOOSE(CONTROL!$C$19, $C$13, 100%, $E$13)</f>
        <v>8.2131000000000007</v>
      </c>
      <c r="H523" s="61">
        <f>11.9613* CHOOSE(CONTROL!$C$19, $C$13, 100%, $E$13)</f>
        <v>11.9613</v>
      </c>
      <c r="I523" s="61">
        <f>11.9614 * CHOOSE(CONTROL!$C$19, $C$13, 100%, $E$13)</f>
        <v>11.961399999999999</v>
      </c>
      <c r="J523" s="61">
        <f>8.2129 * CHOOSE(CONTROL!$C$19, $C$13, 100%, $E$13)</f>
        <v>8.2128999999999994</v>
      </c>
      <c r="K523" s="61">
        <f>8.2131 * CHOOSE(CONTROL!$C$19, $C$13, 100%, $E$13)</f>
        <v>8.2131000000000007</v>
      </c>
    </row>
    <row r="524" spans="1:11" ht="15">
      <c r="A524" s="13">
        <v>57801</v>
      </c>
      <c r="B524" s="60">
        <f>7.1779 * CHOOSE(CONTROL!$C$19, $C$13, 100%, $E$13)</f>
        <v>7.1779000000000002</v>
      </c>
      <c r="C524" s="60">
        <f>7.1779 * CHOOSE(CONTROL!$C$19, $C$13, 100%, $E$13)</f>
        <v>7.1779000000000002</v>
      </c>
      <c r="D524" s="60">
        <f>7.193 * CHOOSE(CONTROL!$C$19, $C$13, 100%, $E$13)</f>
        <v>7.1929999999999996</v>
      </c>
      <c r="E524" s="61">
        <f>8.3169 * CHOOSE(CONTROL!$C$19, $C$13, 100%, $E$13)</f>
        <v>8.3169000000000004</v>
      </c>
      <c r="F524" s="61">
        <f>8.3169 * CHOOSE(CONTROL!$C$19, $C$13, 100%, $E$13)</f>
        <v>8.3169000000000004</v>
      </c>
      <c r="G524" s="61">
        <f>8.317 * CHOOSE(CONTROL!$C$19, $C$13, 100%, $E$13)</f>
        <v>8.3170000000000002</v>
      </c>
      <c r="H524" s="61">
        <f>11.9862* CHOOSE(CONTROL!$C$19, $C$13, 100%, $E$13)</f>
        <v>11.9862</v>
      </c>
      <c r="I524" s="61">
        <f>11.9864 * CHOOSE(CONTROL!$C$19, $C$13, 100%, $E$13)</f>
        <v>11.9864</v>
      </c>
      <c r="J524" s="61">
        <f>8.3169 * CHOOSE(CONTROL!$C$19, $C$13, 100%, $E$13)</f>
        <v>8.3169000000000004</v>
      </c>
      <c r="K524" s="61">
        <f>8.317 * CHOOSE(CONTROL!$C$19, $C$13, 100%, $E$13)</f>
        <v>8.3170000000000002</v>
      </c>
    </row>
    <row r="525" spans="1:11" ht="15">
      <c r="A525" s="13">
        <v>57831</v>
      </c>
      <c r="B525" s="60">
        <f>7.1779 * CHOOSE(CONTROL!$C$19, $C$13, 100%, $E$13)</f>
        <v>7.1779000000000002</v>
      </c>
      <c r="C525" s="60">
        <f>7.1779 * CHOOSE(CONTROL!$C$19, $C$13, 100%, $E$13)</f>
        <v>7.1779000000000002</v>
      </c>
      <c r="D525" s="60">
        <f>7.2082 * CHOOSE(CONTROL!$C$19, $C$13, 100%, $E$13)</f>
        <v>7.2081999999999997</v>
      </c>
      <c r="E525" s="61">
        <f>8.3574 * CHOOSE(CONTROL!$C$19, $C$13, 100%, $E$13)</f>
        <v>8.3574000000000002</v>
      </c>
      <c r="F525" s="61">
        <f>8.3574 * CHOOSE(CONTROL!$C$19, $C$13, 100%, $E$13)</f>
        <v>8.3574000000000002</v>
      </c>
      <c r="G525" s="61">
        <f>8.3593 * CHOOSE(CONTROL!$C$19, $C$13, 100%, $E$13)</f>
        <v>8.3592999999999993</v>
      </c>
      <c r="H525" s="61">
        <f>12.0111* CHOOSE(CONTROL!$C$19, $C$13, 100%, $E$13)</f>
        <v>12.011100000000001</v>
      </c>
      <c r="I525" s="61">
        <f>12.0131 * CHOOSE(CONTROL!$C$19, $C$13, 100%, $E$13)</f>
        <v>12.0131</v>
      </c>
      <c r="J525" s="61">
        <f>8.3574 * CHOOSE(CONTROL!$C$19, $C$13, 100%, $E$13)</f>
        <v>8.3574000000000002</v>
      </c>
      <c r="K525" s="61">
        <f>8.3593 * CHOOSE(CONTROL!$C$19, $C$13, 100%, $E$13)</f>
        <v>8.3592999999999993</v>
      </c>
    </row>
    <row r="526" spans="1:11" ht="15">
      <c r="A526" s="13">
        <v>57862</v>
      </c>
      <c r="B526" s="60">
        <f>7.1839 * CHOOSE(CONTROL!$C$19, $C$13, 100%, $E$13)</f>
        <v>7.1839000000000004</v>
      </c>
      <c r="C526" s="60">
        <f>7.1839 * CHOOSE(CONTROL!$C$19, $C$13, 100%, $E$13)</f>
        <v>7.1839000000000004</v>
      </c>
      <c r="D526" s="60">
        <f>7.2143 * CHOOSE(CONTROL!$C$19, $C$13, 100%, $E$13)</f>
        <v>7.2142999999999997</v>
      </c>
      <c r="E526" s="61">
        <f>8.3211 * CHOOSE(CONTROL!$C$19, $C$13, 100%, $E$13)</f>
        <v>8.3210999999999995</v>
      </c>
      <c r="F526" s="61">
        <f>8.3211 * CHOOSE(CONTROL!$C$19, $C$13, 100%, $E$13)</f>
        <v>8.3210999999999995</v>
      </c>
      <c r="G526" s="61">
        <f>8.323 * CHOOSE(CONTROL!$C$19, $C$13, 100%, $E$13)</f>
        <v>8.3230000000000004</v>
      </c>
      <c r="H526" s="61">
        <f>12.0362* CHOOSE(CONTROL!$C$19, $C$13, 100%, $E$13)</f>
        <v>12.036199999999999</v>
      </c>
      <c r="I526" s="61">
        <f>12.0381 * CHOOSE(CONTROL!$C$19, $C$13, 100%, $E$13)</f>
        <v>12.0381</v>
      </c>
      <c r="J526" s="61">
        <f>8.3211 * CHOOSE(CONTROL!$C$19, $C$13, 100%, $E$13)</f>
        <v>8.3210999999999995</v>
      </c>
      <c r="K526" s="61">
        <f>8.323 * CHOOSE(CONTROL!$C$19, $C$13, 100%, $E$13)</f>
        <v>8.3230000000000004</v>
      </c>
    </row>
    <row r="527" spans="1:11" ht="15">
      <c r="A527" s="13">
        <v>57892</v>
      </c>
      <c r="B527" s="60">
        <f>7.2899 * CHOOSE(CONTROL!$C$19, $C$13, 100%, $E$13)</f>
        <v>7.2899000000000003</v>
      </c>
      <c r="C527" s="60">
        <f>7.2899 * CHOOSE(CONTROL!$C$19, $C$13, 100%, $E$13)</f>
        <v>7.2899000000000003</v>
      </c>
      <c r="D527" s="60">
        <f>7.3203 * CHOOSE(CONTROL!$C$19, $C$13, 100%, $E$13)</f>
        <v>7.3202999999999996</v>
      </c>
      <c r="E527" s="61">
        <f>8.4774 * CHOOSE(CONTROL!$C$19, $C$13, 100%, $E$13)</f>
        <v>8.4773999999999994</v>
      </c>
      <c r="F527" s="61">
        <f>8.4774 * CHOOSE(CONTROL!$C$19, $C$13, 100%, $E$13)</f>
        <v>8.4773999999999994</v>
      </c>
      <c r="G527" s="61">
        <f>8.4793 * CHOOSE(CONTROL!$C$19, $C$13, 100%, $E$13)</f>
        <v>8.4793000000000003</v>
      </c>
      <c r="H527" s="61">
        <f>12.0612* CHOOSE(CONTROL!$C$19, $C$13, 100%, $E$13)</f>
        <v>12.061199999999999</v>
      </c>
      <c r="I527" s="61">
        <f>12.0631 * CHOOSE(CONTROL!$C$19, $C$13, 100%, $E$13)</f>
        <v>12.0631</v>
      </c>
      <c r="J527" s="61">
        <f>8.4774 * CHOOSE(CONTROL!$C$19, $C$13, 100%, $E$13)</f>
        <v>8.4773999999999994</v>
      </c>
      <c r="K527" s="61">
        <f>8.4793 * CHOOSE(CONTROL!$C$19, $C$13, 100%, $E$13)</f>
        <v>8.4793000000000003</v>
      </c>
    </row>
    <row r="528" spans="1:11" ht="15">
      <c r="A528" s="13">
        <v>57923</v>
      </c>
      <c r="B528" s="60">
        <f>7.2966 * CHOOSE(CONTROL!$C$19, $C$13, 100%, $E$13)</f>
        <v>7.2965999999999998</v>
      </c>
      <c r="C528" s="60">
        <f>7.2966 * CHOOSE(CONTROL!$C$19, $C$13, 100%, $E$13)</f>
        <v>7.2965999999999998</v>
      </c>
      <c r="D528" s="60">
        <f>7.327 * CHOOSE(CONTROL!$C$19, $C$13, 100%, $E$13)</f>
        <v>7.327</v>
      </c>
      <c r="E528" s="61">
        <f>8.3603 * CHOOSE(CONTROL!$C$19, $C$13, 100%, $E$13)</f>
        <v>8.3603000000000005</v>
      </c>
      <c r="F528" s="61">
        <f>8.3603 * CHOOSE(CONTROL!$C$19, $C$13, 100%, $E$13)</f>
        <v>8.3603000000000005</v>
      </c>
      <c r="G528" s="61">
        <f>8.3622 * CHOOSE(CONTROL!$C$19, $C$13, 100%, $E$13)</f>
        <v>8.3621999999999996</v>
      </c>
      <c r="H528" s="61">
        <f>12.0864* CHOOSE(CONTROL!$C$19, $C$13, 100%, $E$13)</f>
        <v>12.086399999999999</v>
      </c>
      <c r="I528" s="61">
        <f>12.0883 * CHOOSE(CONTROL!$C$19, $C$13, 100%, $E$13)</f>
        <v>12.0883</v>
      </c>
      <c r="J528" s="61">
        <f>8.3603 * CHOOSE(CONTROL!$C$19, $C$13, 100%, $E$13)</f>
        <v>8.3603000000000005</v>
      </c>
      <c r="K528" s="61">
        <f>8.3622 * CHOOSE(CONTROL!$C$19, $C$13, 100%, $E$13)</f>
        <v>8.3621999999999996</v>
      </c>
    </row>
    <row r="529" spans="1:11" ht="15">
      <c r="A529" s="13">
        <v>57954</v>
      </c>
      <c r="B529" s="60">
        <f>7.2936 * CHOOSE(CONTROL!$C$19, $C$13, 100%, $E$13)</f>
        <v>7.2935999999999996</v>
      </c>
      <c r="C529" s="60">
        <f>7.2936 * CHOOSE(CONTROL!$C$19, $C$13, 100%, $E$13)</f>
        <v>7.2935999999999996</v>
      </c>
      <c r="D529" s="60">
        <f>7.3239 * CHOOSE(CONTROL!$C$19, $C$13, 100%, $E$13)</f>
        <v>7.3239000000000001</v>
      </c>
      <c r="E529" s="61">
        <f>8.3447 * CHOOSE(CONTROL!$C$19, $C$13, 100%, $E$13)</f>
        <v>8.3446999999999996</v>
      </c>
      <c r="F529" s="61">
        <f>8.3447 * CHOOSE(CONTROL!$C$19, $C$13, 100%, $E$13)</f>
        <v>8.3446999999999996</v>
      </c>
      <c r="G529" s="61">
        <f>8.3466 * CHOOSE(CONTROL!$C$19, $C$13, 100%, $E$13)</f>
        <v>8.3466000000000005</v>
      </c>
      <c r="H529" s="61">
        <f>12.1116* CHOOSE(CONTROL!$C$19, $C$13, 100%, $E$13)</f>
        <v>12.111599999999999</v>
      </c>
      <c r="I529" s="61">
        <f>12.1135 * CHOOSE(CONTROL!$C$19, $C$13, 100%, $E$13)</f>
        <v>12.1135</v>
      </c>
      <c r="J529" s="61">
        <f>8.3447 * CHOOSE(CONTROL!$C$19, $C$13, 100%, $E$13)</f>
        <v>8.3446999999999996</v>
      </c>
      <c r="K529" s="61">
        <f>8.3466 * CHOOSE(CONTROL!$C$19, $C$13, 100%, $E$13)</f>
        <v>8.3466000000000005</v>
      </c>
    </row>
    <row r="530" spans="1:11" ht="15">
      <c r="A530" s="13">
        <v>57984</v>
      </c>
      <c r="B530" s="60">
        <f>7.3012 * CHOOSE(CONTROL!$C$19, $C$13, 100%, $E$13)</f>
        <v>7.3011999999999997</v>
      </c>
      <c r="C530" s="60">
        <f>7.3012 * CHOOSE(CONTROL!$C$19, $C$13, 100%, $E$13)</f>
        <v>7.3011999999999997</v>
      </c>
      <c r="D530" s="60">
        <f>7.3164 * CHOOSE(CONTROL!$C$19, $C$13, 100%, $E$13)</f>
        <v>7.3163999999999998</v>
      </c>
      <c r="E530" s="61">
        <f>8.3854 * CHOOSE(CONTROL!$C$19, $C$13, 100%, $E$13)</f>
        <v>8.3854000000000006</v>
      </c>
      <c r="F530" s="61">
        <f>8.3854 * CHOOSE(CONTROL!$C$19, $C$13, 100%, $E$13)</f>
        <v>8.3854000000000006</v>
      </c>
      <c r="G530" s="61">
        <f>8.3855 * CHOOSE(CONTROL!$C$19, $C$13, 100%, $E$13)</f>
        <v>8.3855000000000004</v>
      </c>
      <c r="H530" s="61">
        <f>12.1368* CHOOSE(CONTROL!$C$19, $C$13, 100%, $E$13)</f>
        <v>12.136799999999999</v>
      </c>
      <c r="I530" s="61">
        <f>12.137 * CHOOSE(CONTROL!$C$19, $C$13, 100%, $E$13)</f>
        <v>12.137</v>
      </c>
      <c r="J530" s="61">
        <f>8.3854 * CHOOSE(CONTROL!$C$19, $C$13, 100%, $E$13)</f>
        <v>8.3854000000000006</v>
      </c>
      <c r="K530" s="61">
        <f>8.3855 * CHOOSE(CONTROL!$C$19, $C$13, 100%, $E$13)</f>
        <v>8.3855000000000004</v>
      </c>
    </row>
    <row r="531" spans="1:11" ht="15">
      <c r="A531" s="13">
        <v>58015</v>
      </c>
      <c r="B531" s="60">
        <f>7.3042 * CHOOSE(CONTROL!$C$19, $C$13, 100%, $E$13)</f>
        <v>7.3041999999999998</v>
      </c>
      <c r="C531" s="60">
        <f>7.3042 * CHOOSE(CONTROL!$C$19, $C$13, 100%, $E$13)</f>
        <v>7.3041999999999998</v>
      </c>
      <c r="D531" s="60">
        <f>7.3194 * CHOOSE(CONTROL!$C$19, $C$13, 100%, $E$13)</f>
        <v>7.3193999999999999</v>
      </c>
      <c r="E531" s="61">
        <f>8.4145 * CHOOSE(CONTROL!$C$19, $C$13, 100%, $E$13)</f>
        <v>8.4145000000000003</v>
      </c>
      <c r="F531" s="61">
        <f>8.4145 * CHOOSE(CONTROL!$C$19, $C$13, 100%, $E$13)</f>
        <v>8.4145000000000003</v>
      </c>
      <c r="G531" s="61">
        <f>8.4147 * CHOOSE(CONTROL!$C$19, $C$13, 100%, $E$13)</f>
        <v>8.4146999999999998</v>
      </c>
      <c r="H531" s="61">
        <f>12.1621* CHOOSE(CONTROL!$C$19, $C$13, 100%, $E$13)</f>
        <v>12.162100000000001</v>
      </c>
      <c r="I531" s="61">
        <f>12.1622 * CHOOSE(CONTROL!$C$19, $C$13, 100%, $E$13)</f>
        <v>12.1622</v>
      </c>
      <c r="J531" s="61">
        <f>8.4145 * CHOOSE(CONTROL!$C$19, $C$13, 100%, $E$13)</f>
        <v>8.4145000000000003</v>
      </c>
      <c r="K531" s="61">
        <f>8.4147 * CHOOSE(CONTROL!$C$19, $C$13, 100%, $E$13)</f>
        <v>8.4146999999999998</v>
      </c>
    </row>
    <row r="532" spans="1:11" ht="15">
      <c r="A532" s="13">
        <v>58045</v>
      </c>
      <c r="B532" s="60">
        <f>7.3042 * CHOOSE(CONTROL!$C$19, $C$13, 100%, $E$13)</f>
        <v>7.3041999999999998</v>
      </c>
      <c r="C532" s="60">
        <f>7.3042 * CHOOSE(CONTROL!$C$19, $C$13, 100%, $E$13)</f>
        <v>7.3041999999999998</v>
      </c>
      <c r="D532" s="60">
        <f>7.3194 * CHOOSE(CONTROL!$C$19, $C$13, 100%, $E$13)</f>
        <v>7.3193999999999999</v>
      </c>
      <c r="E532" s="61">
        <f>8.3469 * CHOOSE(CONTROL!$C$19, $C$13, 100%, $E$13)</f>
        <v>8.3468999999999998</v>
      </c>
      <c r="F532" s="61">
        <f>8.3469 * CHOOSE(CONTROL!$C$19, $C$13, 100%, $E$13)</f>
        <v>8.3468999999999998</v>
      </c>
      <c r="G532" s="61">
        <f>8.3471 * CHOOSE(CONTROL!$C$19, $C$13, 100%, $E$13)</f>
        <v>8.3470999999999993</v>
      </c>
      <c r="H532" s="61">
        <f>12.1874* CHOOSE(CONTROL!$C$19, $C$13, 100%, $E$13)</f>
        <v>12.1874</v>
      </c>
      <c r="I532" s="61">
        <f>12.1876 * CHOOSE(CONTROL!$C$19, $C$13, 100%, $E$13)</f>
        <v>12.1876</v>
      </c>
      <c r="J532" s="61">
        <f>8.3469 * CHOOSE(CONTROL!$C$19, $C$13, 100%, $E$13)</f>
        <v>8.3468999999999998</v>
      </c>
      <c r="K532" s="61">
        <f>8.3471 * CHOOSE(CONTROL!$C$19, $C$13, 100%, $E$13)</f>
        <v>8.3470999999999993</v>
      </c>
    </row>
    <row r="533" spans="1:11" ht="15">
      <c r="A533" s="13">
        <v>58076</v>
      </c>
      <c r="B533" s="60">
        <f>7.3655 * CHOOSE(CONTROL!$C$19, $C$13, 100%, $E$13)</f>
        <v>7.3654999999999999</v>
      </c>
      <c r="C533" s="60">
        <f>7.3655 * CHOOSE(CONTROL!$C$19, $C$13, 100%, $E$13)</f>
        <v>7.3654999999999999</v>
      </c>
      <c r="D533" s="60">
        <f>7.3807 * CHOOSE(CONTROL!$C$19, $C$13, 100%, $E$13)</f>
        <v>7.3807</v>
      </c>
      <c r="E533" s="61">
        <f>8.4758 * CHOOSE(CONTROL!$C$19, $C$13, 100%, $E$13)</f>
        <v>8.4757999999999996</v>
      </c>
      <c r="F533" s="61">
        <f>8.4758 * CHOOSE(CONTROL!$C$19, $C$13, 100%, $E$13)</f>
        <v>8.4757999999999996</v>
      </c>
      <c r="G533" s="61">
        <f>8.476 * CHOOSE(CONTROL!$C$19, $C$13, 100%, $E$13)</f>
        <v>8.4760000000000009</v>
      </c>
      <c r="H533" s="61">
        <f>12.2128* CHOOSE(CONTROL!$C$19, $C$13, 100%, $E$13)</f>
        <v>12.2128</v>
      </c>
      <c r="I533" s="61">
        <f>12.213 * CHOOSE(CONTROL!$C$19, $C$13, 100%, $E$13)</f>
        <v>12.212999999999999</v>
      </c>
      <c r="J533" s="61">
        <f>8.4758 * CHOOSE(CONTROL!$C$19, $C$13, 100%, $E$13)</f>
        <v>8.4757999999999996</v>
      </c>
      <c r="K533" s="61">
        <f>8.476 * CHOOSE(CONTROL!$C$19, $C$13, 100%, $E$13)</f>
        <v>8.4760000000000009</v>
      </c>
    </row>
    <row r="534" spans="1:11" ht="15">
      <c r="A534" s="13">
        <v>58107</v>
      </c>
      <c r="B534" s="60">
        <f>7.3624 * CHOOSE(CONTROL!$C$19, $C$13, 100%, $E$13)</f>
        <v>7.3624000000000001</v>
      </c>
      <c r="C534" s="60">
        <f>7.3624 * CHOOSE(CONTROL!$C$19, $C$13, 100%, $E$13)</f>
        <v>7.3624000000000001</v>
      </c>
      <c r="D534" s="60">
        <f>7.3776 * CHOOSE(CONTROL!$C$19, $C$13, 100%, $E$13)</f>
        <v>7.3776000000000002</v>
      </c>
      <c r="E534" s="61">
        <f>8.3418 * CHOOSE(CONTROL!$C$19, $C$13, 100%, $E$13)</f>
        <v>8.3417999999999992</v>
      </c>
      <c r="F534" s="61">
        <f>8.3418 * CHOOSE(CONTROL!$C$19, $C$13, 100%, $E$13)</f>
        <v>8.3417999999999992</v>
      </c>
      <c r="G534" s="61">
        <f>8.342 * CHOOSE(CONTROL!$C$19, $C$13, 100%, $E$13)</f>
        <v>8.3420000000000005</v>
      </c>
      <c r="H534" s="61">
        <f>12.2382* CHOOSE(CONTROL!$C$19, $C$13, 100%, $E$13)</f>
        <v>12.238200000000001</v>
      </c>
      <c r="I534" s="61">
        <f>12.2384 * CHOOSE(CONTROL!$C$19, $C$13, 100%, $E$13)</f>
        <v>12.2384</v>
      </c>
      <c r="J534" s="61">
        <f>8.3418 * CHOOSE(CONTROL!$C$19, $C$13, 100%, $E$13)</f>
        <v>8.3417999999999992</v>
      </c>
      <c r="K534" s="61">
        <f>8.342 * CHOOSE(CONTROL!$C$19, $C$13, 100%, $E$13)</f>
        <v>8.3420000000000005</v>
      </c>
    </row>
    <row r="535" spans="1:11" ht="15">
      <c r="A535" s="13">
        <v>58135</v>
      </c>
      <c r="B535" s="60">
        <f>7.3594 * CHOOSE(CONTROL!$C$19, $C$13, 100%, $E$13)</f>
        <v>7.3593999999999999</v>
      </c>
      <c r="C535" s="60">
        <f>7.3594 * CHOOSE(CONTROL!$C$19, $C$13, 100%, $E$13)</f>
        <v>7.3593999999999999</v>
      </c>
      <c r="D535" s="60">
        <f>7.3746 * CHOOSE(CONTROL!$C$19, $C$13, 100%, $E$13)</f>
        <v>7.3746</v>
      </c>
      <c r="E535" s="61">
        <f>8.4437 * CHOOSE(CONTROL!$C$19, $C$13, 100%, $E$13)</f>
        <v>8.4436999999999998</v>
      </c>
      <c r="F535" s="61">
        <f>8.4437 * CHOOSE(CONTROL!$C$19, $C$13, 100%, $E$13)</f>
        <v>8.4436999999999998</v>
      </c>
      <c r="G535" s="61">
        <f>8.4439 * CHOOSE(CONTROL!$C$19, $C$13, 100%, $E$13)</f>
        <v>8.4438999999999993</v>
      </c>
      <c r="H535" s="61">
        <f>12.2637* CHOOSE(CONTROL!$C$19, $C$13, 100%, $E$13)</f>
        <v>12.2637</v>
      </c>
      <c r="I535" s="61">
        <f>12.2639 * CHOOSE(CONTROL!$C$19, $C$13, 100%, $E$13)</f>
        <v>12.2639</v>
      </c>
      <c r="J535" s="61">
        <f>8.4437 * CHOOSE(CONTROL!$C$19, $C$13, 100%, $E$13)</f>
        <v>8.4436999999999998</v>
      </c>
      <c r="K535" s="61">
        <f>8.4439 * CHOOSE(CONTROL!$C$19, $C$13, 100%, $E$13)</f>
        <v>8.4438999999999993</v>
      </c>
    </row>
    <row r="536" spans="1:11" ht="15">
      <c r="A536" s="13">
        <v>58166</v>
      </c>
      <c r="B536" s="60">
        <f>7.3604 * CHOOSE(CONTROL!$C$19, $C$13, 100%, $E$13)</f>
        <v>7.3604000000000003</v>
      </c>
      <c r="C536" s="60">
        <f>7.3604 * CHOOSE(CONTROL!$C$19, $C$13, 100%, $E$13)</f>
        <v>7.3604000000000003</v>
      </c>
      <c r="D536" s="60">
        <f>7.3756 * CHOOSE(CONTROL!$C$19, $C$13, 100%, $E$13)</f>
        <v>7.3756000000000004</v>
      </c>
      <c r="E536" s="61">
        <f>8.5511 * CHOOSE(CONTROL!$C$19, $C$13, 100%, $E$13)</f>
        <v>8.5510999999999999</v>
      </c>
      <c r="F536" s="61">
        <f>8.5511 * CHOOSE(CONTROL!$C$19, $C$13, 100%, $E$13)</f>
        <v>8.5510999999999999</v>
      </c>
      <c r="G536" s="61">
        <f>8.5513 * CHOOSE(CONTROL!$C$19, $C$13, 100%, $E$13)</f>
        <v>8.5512999999999995</v>
      </c>
      <c r="H536" s="61">
        <f>12.2893* CHOOSE(CONTROL!$C$19, $C$13, 100%, $E$13)</f>
        <v>12.289300000000001</v>
      </c>
      <c r="I536" s="61">
        <f>12.2895 * CHOOSE(CONTROL!$C$19, $C$13, 100%, $E$13)</f>
        <v>12.2895</v>
      </c>
      <c r="J536" s="61">
        <f>8.5511 * CHOOSE(CONTROL!$C$19, $C$13, 100%, $E$13)</f>
        <v>8.5510999999999999</v>
      </c>
      <c r="K536" s="61">
        <f>8.5513 * CHOOSE(CONTROL!$C$19, $C$13, 100%, $E$13)</f>
        <v>8.5512999999999995</v>
      </c>
    </row>
    <row r="537" spans="1:11" ht="15">
      <c r="A537" s="13">
        <v>58196</v>
      </c>
      <c r="B537" s="60">
        <f>7.3604 * CHOOSE(CONTROL!$C$19, $C$13, 100%, $E$13)</f>
        <v>7.3604000000000003</v>
      </c>
      <c r="C537" s="60">
        <f>7.3604 * CHOOSE(CONTROL!$C$19, $C$13, 100%, $E$13)</f>
        <v>7.3604000000000003</v>
      </c>
      <c r="D537" s="60">
        <f>7.3907 * CHOOSE(CONTROL!$C$19, $C$13, 100%, $E$13)</f>
        <v>7.3906999999999998</v>
      </c>
      <c r="E537" s="61">
        <f>8.593 * CHOOSE(CONTROL!$C$19, $C$13, 100%, $E$13)</f>
        <v>8.593</v>
      </c>
      <c r="F537" s="61">
        <f>8.593 * CHOOSE(CONTROL!$C$19, $C$13, 100%, $E$13)</f>
        <v>8.593</v>
      </c>
      <c r="G537" s="61">
        <f>8.5949 * CHOOSE(CONTROL!$C$19, $C$13, 100%, $E$13)</f>
        <v>8.5949000000000009</v>
      </c>
      <c r="H537" s="61">
        <f>12.3149* CHOOSE(CONTROL!$C$19, $C$13, 100%, $E$13)</f>
        <v>12.3149</v>
      </c>
      <c r="I537" s="61">
        <f>12.3168 * CHOOSE(CONTROL!$C$19, $C$13, 100%, $E$13)</f>
        <v>12.316800000000001</v>
      </c>
      <c r="J537" s="61">
        <f>8.593 * CHOOSE(CONTROL!$C$19, $C$13, 100%, $E$13)</f>
        <v>8.593</v>
      </c>
      <c r="K537" s="61">
        <f>8.5949 * CHOOSE(CONTROL!$C$19, $C$13, 100%, $E$13)</f>
        <v>8.5949000000000009</v>
      </c>
    </row>
    <row r="538" spans="1:11" ht="15">
      <c r="A538" s="13">
        <v>58227</v>
      </c>
      <c r="B538" s="60">
        <f>7.3665 * CHOOSE(CONTROL!$C$19, $C$13, 100%, $E$13)</f>
        <v>7.3665000000000003</v>
      </c>
      <c r="C538" s="60">
        <f>7.3665 * CHOOSE(CONTROL!$C$19, $C$13, 100%, $E$13)</f>
        <v>7.3665000000000003</v>
      </c>
      <c r="D538" s="60">
        <f>7.3968 * CHOOSE(CONTROL!$C$19, $C$13, 100%, $E$13)</f>
        <v>7.3967999999999998</v>
      </c>
      <c r="E538" s="61">
        <f>8.5553 * CHOOSE(CONTROL!$C$19, $C$13, 100%, $E$13)</f>
        <v>8.5553000000000008</v>
      </c>
      <c r="F538" s="61">
        <f>8.5553 * CHOOSE(CONTROL!$C$19, $C$13, 100%, $E$13)</f>
        <v>8.5553000000000008</v>
      </c>
      <c r="G538" s="61">
        <f>8.5573 * CHOOSE(CONTROL!$C$19, $C$13, 100%, $E$13)</f>
        <v>8.5572999999999997</v>
      </c>
      <c r="H538" s="61">
        <f>12.3405* CHOOSE(CONTROL!$C$19, $C$13, 100%, $E$13)</f>
        <v>12.3405</v>
      </c>
      <c r="I538" s="61">
        <f>12.3425 * CHOOSE(CONTROL!$C$19, $C$13, 100%, $E$13)</f>
        <v>12.342499999999999</v>
      </c>
      <c r="J538" s="61">
        <f>8.5553 * CHOOSE(CONTROL!$C$19, $C$13, 100%, $E$13)</f>
        <v>8.5553000000000008</v>
      </c>
      <c r="K538" s="61">
        <f>8.5573 * CHOOSE(CONTROL!$C$19, $C$13, 100%, $E$13)</f>
        <v>8.5572999999999997</v>
      </c>
    </row>
    <row r="539" spans="1:11" ht="15">
      <c r="A539" s="13">
        <v>58257</v>
      </c>
      <c r="B539" s="60">
        <f>7.4748 * CHOOSE(CONTROL!$C$19, $C$13, 100%, $E$13)</f>
        <v>7.4748000000000001</v>
      </c>
      <c r="C539" s="60">
        <f>7.4748 * CHOOSE(CONTROL!$C$19, $C$13, 100%, $E$13)</f>
        <v>7.4748000000000001</v>
      </c>
      <c r="D539" s="60">
        <f>7.5051 * CHOOSE(CONTROL!$C$19, $C$13, 100%, $E$13)</f>
        <v>7.5050999999999997</v>
      </c>
      <c r="E539" s="61">
        <f>8.7157 * CHOOSE(CONTROL!$C$19, $C$13, 100%, $E$13)</f>
        <v>8.7157</v>
      </c>
      <c r="F539" s="61">
        <f>8.7157 * CHOOSE(CONTROL!$C$19, $C$13, 100%, $E$13)</f>
        <v>8.7157</v>
      </c>
      <c r="G539" s="61">
        <f>8.7176 * CHOOSE(CONTROL!$C$19, $C$13, 100%, $E$13)</f>
        <v>8.7175999999999991</v>
      </c>
      <c r="H539" s="61">
        <f>12.3663* CHOOSE(CONTROL!$C$19, $C$13, 100%, $E$13)</f>
        <v>12.366300000000001</v>
      </c>
      <c r="I539" s="61">
        <f>12.3682 * CHOOSE(CONTROL!$C$19, $C$13, 100%, $E$13)</f>
        <v>12.3682</v>
      </c>
      <c r="J539" s="61">
        <f>8.7157 * CHOOSE(CONTROL!$C$19, $C$13, 100%, $E$13)</f>
        <v>8.7157</v>
      </c>
      <c r="K539" s="61">
        <f>8.7176 * CHOOSE(CONTROL!$C$19, $C$13, 100%, $E$13)</f>
        <v>8.7175999999999991</v>
      </c>
    </row>
    <row r="540" spans="1:11" ht="15">
      <c r="A540" s="13">
        <v>58288</v>
      </c>
      <c r="B540" s="60">
        <f>7.4815 * CHOOSE(CONTROL!$C$19, $C$13, 100%, $E$13)</f>
        <v>7.4814999999999996</v>
      </c>
      <c r="C540" s="60">
        <f>7.4815 * CHOOSE(CONTROL!$C$19, $C$13, 100%, $E$13)</f>
        <v>7.4814999999999996</v>
      </c>
      <c r="D540" s="60">
        <f>7.5118 * CHOOSE(CONTROL!$C$19, $C$13, 100%, $E$13)</f>
        <v>7.5118</v>
      </c>
      <c r="E540" s="61">
        <f>8.5948 * CHOOSE(CONTROL!$C$19, $C$13, 100%, $E$13)</f>
        <v>8.5947999999999993</v>
      </c>
      <c r="F540" s="61">
        <f>8.5948 * CHOOSE(CONTROL!$C$19, $C$13, 100%, $E$13)</f>
        <v>8.5947999999999993</v>
      </c>
      <c r="G540" s="61">
        <f>8.5967 * CHOOSE(CONTROL!$C$19, $C$13, 100%, $E$13)</f>
        <v>8.5967000000000002</v>
      </c>
      <c r="H540" s="61">
        <f>12.392* CHOOSE(CONTROL!$C$19, $C$13, 100%, $E$13)</f>
        <v>12.391999999999999</v>
      </c>
      <c r="I540" s="61">
        <f>12.3939 * CHOOSE(CONTROL!$C$19, $C$13, 100%, $E$13)</f>
        <v>12.3939</v>
      </c>
      <c r="J540" s="61">
        <f>8.5948 * CHOOSE(CONTROL!$C$19, $C$13, 100%, $E$13)</f>
        <v>8.5947999999999993</v>
      </c>
      <c r="K540" s="61">
        <f>8.5967 * CHOOSE(CONTROL!$C$19, $C$13, 100%, $E$13)</f>
        <v>8.5967000000000002</v>
      </c>
    </row>
    <row r="541" spans="1:11" ht="15">
      <c r="A541" s="13">
        <v>58319</v>
      </c>
      <c r="B541" s="60">
        <f>7.4784 * CHOOSE(CONTROL!$C$19, $C$13, 100%, $E$13)</f>
        <v>7.4783999999999997</v>
      </c>
      <c r="C541" s="60">
        <f>7.4784 * CHOOSE(CONTROL!$C$19, $C$13, 100%, $E$13)</f>
        <v>7.4783999999999997</v>
      </c>
      <c r="D541" s="60">
        <f>7.5088 * CHOOSE(CONTROL!$C$19, $C$13, 100%, $E$13)</f>
        <v>7.5087999999999999</v>
      </c>
      <c r="E541" s="61">
        <f>8.5787 * CHOOSE(CONTROL!$C$19, $C$13, 100%, $E$13)</f>
        <v>8.5786999999999995</v>
      </c>
      <c r="F541" s="61">
        <f>8.5787 * CHOOSE(CONTROL!$C$19, $C$13, 100%, $E$13)</f>
        <v>8.5786999999999995</v>
      </c>
      <c r="G541" s="61">
        <f>8.5806 * CHOOSE(CONTROL!$C$19, $C$13, 100%, $E$13)</f>
        <v>8.5806000000000004</v>
      </c>
      <c r="H541" s="61">
        <f>12.4178* CHOOSE(CONTROL!$C$19, $C$13, 100%, $E$13)</f>
        <v>12.4178</v>
      </c>
      <c r="I541" s="61">
        <f>12.4197 * CHOOSE(CONTROL!$C$19, $C$13, 100%, $E$13)</f>
        <v>12.419700000000001</v>
      </c>
      <c r="J541" s="61">
        <f>8.5787 * CHOOSE(CONTROL!$C$19, $C$13, 100%, $E$13)</f>
        <v>8.5786999999999995</v>
      </c>
      <c r="K541" s="61">
        <f>8.5806 * CHOOSE(CONTROL!$C$19, $C$13, 100%, $E$13)</f>
        <v>8.5806000000000004</v>
      </c>
    </row>
    <row r="542" spans="1:11" ht="15">
      <c r="A542" s="13">
        <v>58349</v>
      </c>
      <c r="B542" s="60">
        <f>7.4867 * CHOOSE(CONTROL!$C$19, $C$13, 100%, $E$13)</f>
        <v>7.4866999999999999</v>
      </c>
      <c r="C542" s="60">
        <f>7.4867 * CHOOSE(CONTROL!$C$19, $C$13, 100%, $E$13)</f>
        <v>7.4866999999999999</v>
      </c>
      <c r="D542" s="60">
        <f>7.5019 * CHOOSE(CONTROL!$C$19, $C$13, 100%, $E$13)</f>
        <v>7.5019</v>
      </c>
      <c r="E542" s="61">
        <f>8.6211 * CHOOSE(CONTROL!$C$19, $C$13, 100%, $E$13)</f>
        <v>8.6211000000000002</v>
      </c>
      <c r="F542" s="61">
        <f>8.6211 * CHOOSE(CONTROL!$C$19, $C$13, 100%, $E$13)</f>
        <v>8.6211000000000002</v>
      </c>
      <c r="G542" s="61">
        <f>8.6213 * CHOOSE(CONTROL!$C$19, $C$13, 100%, $E$13)</f>
        <v>8.6212999999999997</v>
      </c>
      <c r="H542" s="61">
        <f>12.4437* CHOOSE(CONTROL!$C$19, $C$13, 100%, $E$13)</f>
        <v>12.4437</v>
      </c>
      <c r="I542" s="61">
        <f>12.4439 * CHOOSE(CONTROL!$C$19, $C$13, 100%, $E$13)</f>
        <v>12.443899999999999</v>
      </c>
      <c r="J542" s="61">
        <f>8.6211 * CHOOSE(CONTROL!$C$19, $C$13, 100%, $E$13)</f>
        <v>8.6211000000000002</v>
      </c>
      <c r="K542" s="61">
        <f>8.6213 * CHOOSE(CONTROL!$C$19, $C$13, 100%, $E$13)</f>
        <v>8.6212999999999997</v>
      </c>
    </row>
    <row r="543" spans="1:11" ht="15">
      <c r="A543" s="13">
        <v>58380</v>
      </c>
      <c r="B543" s="60">
        <f>7.4898 * CHOOSE(CONTROL!$C$19, $C$13, 100%, $E$13)</f>
        <v>7.4897999999999998</v>
      </c>
      <c r="C543" s="60">
        <f>7.4898 * CHOOSE(CONTROL!$C$19, $C$13, 100%, $E$13)</f>
        <v>7.4897999999999998</v>
      </c>
      <c r="D543" s="60">
        <f>7.5049 * CHOOSE(CONTROL!$C$19, $C$13, 100%, $E$13)</f>
        <v>7.5049000000000001</v>
      </c>
      <c r="E543" s="61">
        <f>8.6511 * CHOOSE(CONTROL!$C$19, $C$13, 100%, $E$13)</f>
        <v>8.6510999999999996</v>
      </c>
      <c r="F543" s="61">
        <f>8.6511 * CHOOSE(CONTROL!$C$19, $C$13, 100%, $E$13)</f>
        <v>8.6510999999999996</v>
      </c>
      <c r="G543" s="61">
        <f>8.6513 * CHOOSE(CONTROL!$C$19, $C$13, 100%, $E$13)</f>
        <v>8.6513000000000009</v>
      </c>
      <c r="H543" s="61">
        <f>12.4696* CHOOSE(CONTROL!$C$19, $C$13, 100%, $E$13)</f>
        <v>12.4696</v>
      </c>
      <c r="I543" s="61">
        <f>12.4698 * CHOOSE(CONTROL!$C$19, $C$13, 100%, $E$13)</f>
        <v>12.469799999999999</v>
      </c>
      <c r="J543" s="61">
        <f>8.6511 * CHOOSE(CONTROL!$C$19, $C$13, 100%, $E$13)</f>
        <v>8.6510999999999996</v>
      </c>
      <c r="K543" s="61">
        <f>8.6513 * CHOOSE(CONTROL!$C$19, $C$13, 100%, $E$13)</f>
        <v>8.6513000000000009</v>
      </c>
    </row>
    <row r="544" spans="1:11" ht="15">
      <c r="A544" s="13">
        <v>58410</v>
      </c>
      <c r="B544" s="60">
        <f>7.4898 * CHOOSE(CONTROL!$C$19, $C$13, 100%, $E$13)</f>
        <v>7.4897999999999998</v>
      </c>
      <c r="C544" s="60">
        <f>7.4898 * CHOOSE(CONTROL!$C$19, $C$13, 100%, $E$13)</f>
        <v>7.4897999999999998</v>
      </c>
      <c r="D544" s="60">
        <f>7.5049 * CHOOSE(CONTROL!$C$19, $C$13, 100%, $E$13)</f>
        <v>7.5049000000000001</v>
      </c>
      <c r="E544" s="61">
        <f>8.5813 * CHOOSE(CONTROL!$C$19, $C$13, 100%, $E$13)</f>
        <v>8.5813000000000006</v>
      </c>
      <c r="F544" s="61">
        <f>8.5813 * CHOOSE(CONTROL!$C$19, $C$13, 100%, $E$13)</f>
        <v>8.5813000000000006</v>
      </c>
      <c r="G544" s="61">
        <f>8.5815 * CHOOSE(CONTROL!$C$19, $C$13, 100%, $E$13)</f>
        <v>8.5815000000000001</v>
      </c>
      <c r="H544" s="61">
        <f>12.4956* CHOOSE(CONTROL!$C$19, $C$13, 100%, $E$13)</f>
        <v>12.4956</v>
      </c>
      <c r="I544" s="61">
        <f>12.4958 * CHOOSE(CONTROL!$C$19, $C$13, 100%, $E$13)</f>
        <v>12.495799999999999</v>
      </c>
      <c r="J544" s="61">
        <f>8.5813 * CHOOSE(CONTROL!$C$19, $C$13, 100%, $E$13)</f>
        <v>8.5813000000000006</v>
      </c>
      <c r="K544" s="61">
        <f>8.5815 * CHOOSE(CONTROL!$C$19, $C$13, 100%, $E$13)</f>
        <v>8.5815000000000001</v>
      </c>
    </row>
    <row r="545" spans="1:11" ht="15">
      <c r="A545" s="13">
        <v>58441</v>
      </c>
      <c r="B545" s="60">
        <f>7.5525 * CHOOSE(CONTROL!$C$19, $C$13, 100%, $E$13)</f>
        <v>7.5525000000000002</v>
      </c>
      <c r="C545" s="60">
        <f>7.5525 * CHOOSE(CONTROL!$C$19, $C$13, 100%, $E$13)</f>
        <v>7.5525000000000002</v>
      </c>
      <c r="D545" s="60">
        <f>7.5676 * CHOOSE(CONTROL!$C$19, $C$13, 100%, $E$13)</f>
        <v>7.5675999999999997</v>
      </c>
      <c r="E545" s="61">
        <f>8.7141 * CHOOSE(CONTROL!$C$19, $C$13, 100%, $E$13)</f>
        <v>8.7141000000000002</v>
      </c>
      <c r="F545" s="61">
        <f>8.7141 * CHOOSE(CONTROL!$C$19, $C$13, 100%, $E$13)</f>
        <v>8.7141000000000002</v>
      </c>
      <c r="G545" s="61">
        <f>8.7142 * CHOOSE(CONTROL!$C$19, $C$13, 100%, $E$13)</f>
        <v>8.7141999999999999</v>
      </c>
      <c r="H545" s="61">
        <f>12.5216* CHOOSE(CONTROL!$C$19, $C$13, 100%, $E$13)</f>
        <v>12.521599999999999</v>
      </c>
      <c r="I545" s="61">
        <f>12.5218 * CHOOSE(CONTROL!$C$19, $C$13, 100%, $E$13)</f>
        <v>12.521800000000001</v>
      </c>
      <c r="J545" s="61">
        <f>8.7141 * CHOOSE(CONTROL!$C$19, $C$13, 100%, $E$13)</f>
        <v>8.7141000000000002</v>
      </c>
      <c r="K545" s="61">
        <f>8.7142 * CHOOSE(CONTROL!$C$19, $C$13, 100%, $E$13)</f>
        <v>8.7141999999999999</v>
      </c>
    </row>
    <row r="546" spans="1:11" ht="15">
      <c r="A546" s="13">
        <v>58472</v>
      </c>
      <c r="B546" s="60">
        <f>7.5494 * CHOOSE(CONTROL!$C$19, $C$13, 100%, $E$13)</f>
        <v>7.5494000000000003</v>
      </c>
      <c r="C546" s="60">
        <f>7.5494 * CHOOSE(CONTROL!$C$19, $C$13, 100%, $E$13)</f>
        <v>7.5494000000000003</v>
      </c>
      <c r="D546" s="60">
        <f>7.5646 * CHOOSE(CONTROL!$C$19, $C$13, 100%, $E$13)</f>
        <v>7.5646000000000004</v>
      </c>
      <c r="E546" s="61">
        <f>8.5758 * CHOOSE(CONTROL!$C$19, $C$13, 100%, $E$13)</f>
        <v>8.5757999999999992</v>
      </c>
      <c r="F546" s="61">
        <f>8.5758 * CHOOSE(CONTROL!$C$19, $C$13, 100%, $E$13)</f>
        <v>8.5757999999999992</v>
      </c>
      <c r="G546" s="61">
        <f>8.576 * CHOOSE(CONTROL!$C$19, $C$13, 100%, $E$13)</f>
        <v>8.5760000000000005</v>
      </c>
      <c r="H546" s="61">
        <f>12.5477* CHOOSE(CONTROL!$C$19, $C$13, 100%, $E$13)</f>
        <v>12.547700000000001</v>
      </c>
      <c r="I546" s="61">
        <f>12.5479 * CHOOSE(CONTROL!$C$19, $C$13, 100%, $E$13)</f>
        <v>12.5479</v>
      </c>
      <c r="J546" s="61">
        <f>8.5758 * CHOOSE(CONTROL!$C$19, $C$13, 100%, $E$13)</f>
        <v>8.5757999999999992</v>
      </c>
      <c r="K546" s="61">
        <f>8.576 * CHOOSE(CONTROL!$C$19, $C$13, 100%, $E$13)</f>
        <v>8.5760000000000005</v>
      </c>
    </row>
    <row r="547" spans="1:11" ht="15">
      <c r="A547" s="13">
        <v>58501</v>
      </c>
      <c r="B547" s="60">
        <f>7.5464 * CHOOSE(CONTROL!$C$19, $C$13, 100%, $E$13)</f>
        <v>7.5464000000000002</v>
      </c>
      <c r="C547" s="60">
        <f>7.5464 * CHOOSE(CONTROL!$C$19, $C$13, 100%, $E$13)</f>
        <v>7.5464000000000002</v>
      </c>
      <c r="D547" s="60">
        <f>7.5616 * CHOOSE(CONTROL!$C$19, $C$13, 100%, $E$13)</f>
        <v>7.5616000000000003</v>
      </c>
      <c r="E547" s="61">
        <f>8.681 * CHOOSE(CONTROL!$C$19, $C$13, 100%, $E$13)</f>
        <v>8.6809999999999992</v>
      </c>
      <c r="F547" s="61">
        <f>8.681 * CHOOSE(CONTROL!$C$19, $C$13, 100%, $E$13)</f>
        <v>8.6809999999999992</v>
      </c>
      <c r="G547" s="61">
        <f>8.6812 * CHOOSE(CONTROL!$C$19, $C$13, 100%, $E$13)</f>
        <v>8.6812000000000005</v>
      </c>
      <c r="H547" s="61">
        <f>12.5739* CHOOSE(CONTROL!$C$19, $C$13, 100%, $E$13)</f>
        <v>12.5739</v>
      </c>
      <c r="I547" s="61">
        <f>12.574 * CHOOSE(CONTROL!$C$19, $C$13, 100%, $E$13)</f>
        <v>12.574</v>
      </c>
      <c r="J547" s="61">
        <f>8.681 * CHOOSE(CONTROL!$C$19, $C$13, 100%, $E$13)</f>
        <v>8.6809999999999992</v>
      </c>
      <c r="K547" s="61">
        <f>8.6812 * CHOOSE(CONTROL!$C$19, $C$13, 100%, $E$13)</f>
        <v>8.6812000000000005</v>
      </c>
    </row>
    <row r="548" spans="1:11" ht="15">
      <c r="A548" s="13">
        <v>58532</v>
      </c>
      <c r="B548" s="60">
        <f>7.5475 * CHOOSE(CONTROL!$C$19, $C$13, 100%, $E$13)</f>
        <v>7.5475000000000003</v>
      </c>
      <c r="C548" s="60">
        <f>7.5475 * CHOOSE(CONTROL!$C$19, $C$13, 100%, $E$13)</f>
        <v>7.5475000000000003</v>
      </c>
      <c r="D548" s="60">
        <f>7.5627 * CHOOSE(CONTROL!$C$19, $C$13, 100%, $E$13)</f>
        <v>7.5627000000000004</v>
      </c>
      <c r="E548" s="61">
        <f>8.792 * CHOOSE(CONTROL!$C$19, $C$13, 100%, $E$13)</f>
        <v>8.7919999999999998</v>
      </c>
      <c r="F548" s="61">
        <f>8.792 * CHOOSE(CONTROL!$C$19, $C$13, 100%, $E$13)</f>
        <v>8.7919999999999998</v>
      </c>
      <c r="G548" s="61">
        <f>8.7922 * CHOOSE(CONTROL!$C$19, $C$13, 100%, $E$13)</f>
        <v>8.7921999999999993</v>
      </c>
      <c r="H548" s="61">
        <f>12.6001* CHOOSE(CONTROL!$C$19, $C$13, 100%, $E$13)</f>
        <v>12.600099999999999</v>
      </c>
      <c r="I548" s="61">
        <f>12.6002 * CHOOSE(CONTROL!$C$19, $C$13, 100%, $E$13)</f>
        <v>12.600199999999999</v>
      </c>
      <c r="J548" s="61">
        <f>8.792 * CHOOSE(CONTROL!$C$19, $C$13, 100%, $E$13)</f>
        <v>8.7919999999999998</v>
      </c>
      <c r="K548" s="61">
        <f>8.7922 * CHOOSE(CONTROL!$C$19, $C$13, 100%, $E$13)</f>
        <v>8.7921999999999993</v>
      </c>
    </row>
    <row r="549" spans="1:11" ht="15">
      <c r="A549" s="13">
        <v>58562</v>
      </c>
      <c r="B549" s="60">
        <f>7.5475 * CHOOSE(CONTROL!$C$19, $C$13, 100%, $E$13)</f>
        <v>7.5475000000000003</v>
      </c>
      <c r="C549" s="60">
        <f>7.5475 * CHOOSE(CONTROL!$C$19, $C$13, 100%, $E$13)</f>
        <v>7.5475000000000003</v>
      </c>
      <c r="D549" s="60">
        <f>7.5779 * CHOOSE(CONTROL!$C$19, $C$13, 100%, $E$13)</f>
        <v>7.5778999999999996</v>
      </c>
      <c r="E549" s="61">
        <f>8.8352 * CHOOSE(CONTROL!$C$19, $C$13, 100%, $E$13)</f>
        <v>8.8352000000000004</v>
      </c>
      <c r="F549" s="61">
        <f>8.8352 * CHOOSE(CONTROL!$C$19, $C$13, 100%, $E$13)</f>
        <v>8.8352000000000004</v>
      </c>
      <c r="G549" s="61">
        <f>8.8371 * CHOOSE(CONTROL!$C$19, $C$13, 100%, $E$13)</f>
        <v>8.8370999999999995</v>
      </c>
      <c r="H549" s="61">
        <f>12.6263* CHOOSE(CONTROL!$C$19, $C$13, 100%, $E$13)</f>
        <v>12.626300000000001</v>
      </c>
      <c r="I549" s="61">
        <f>12.6282 * CHOOSE(CONTROL!$C$19, $C$13, 100%, $E$13)</f>
        <v>12.6282</v>
      </c>
      <c r="J549" s="61">
        <f>8.8352 * CHOOSE(CONTROL!$C$19, $C$13, 100%, $E$13)</f>
        <v>8.8352000000000004</v>
      </c>
      <c r="K549" s="61">
        <f>8.8371 * CHOOSE(CONTROL!$C$19, $C$13, 100%, $E$13)</f>
        <v>8.8370999999999995</v>
      </c>
    </row>
    <row r="550" spans="1:11" ht="15">
      <c r="A550" s="13">
        <v>58593</v>
      </c>
      <c r="B550" s="60">
        <f>7.5536 * CHOOSE(CONTROL!$C$19, $C$13, 100%, $E$13)</f>
        <v>7.5536000000000003</v>
      </c>
      <c r="C550" s="60">
        <f>7.5536 * CHOOSE(CONTROL!$C$19, $C$13, 100%, $E$13)</f>
        <v>7.5536000000000003</v>
      </c>
      <c r="D550" s="60">
        <f>7.584 * CHOOSE(CONTROL!$C$19, $C$13, 100%, $E$13)</f>
        <v>7.5839999999999996</v>
      </c>
      <c r="E550" s="61">
        <f>8.7962 * CHOOSE(CONTROL!$C$19, $C$13, 100%, $E$13)</f>
        <v>8.7962000000000007</v>
      </c>
      <c r="F550" s="61">
        <f>8.7962 * CHOOSE(CONTROL!$C$19, $C$13, 100%, $E$13)</f>
        <v>8.7962000000000007</v>
      </c>
      <c r="G550" s="61">
        <f>8.7981 * CHOOSE(CONTROL!$C$19, $C$13, 100%, $E$13)</f>
        <v>8.7980999999999998</v>
      </c>
      <c r="H550" s="61">
        <f>12.6526* CHOOSE(CONTROL!$C$19, $C$13, 100%, $E$13)</f>
        <v>12.6526</v>
      </c>
      <c r="I550" s="61">
        <f>12.6545 * CHOOSE(CONTROL!$C$19, $C$13, 100%, $E$13)</f>
        <v>12.654500000000001</v>
      </c>
      <c r="J550" s="61">
        <f>8.7962 * CHOOSE(CONTROL!$C$19, $C$13, 100%, $E$13)</f>
        <v>8.7962000000000007</v>
      </c>
      <c r="K550" s="61">
        <f>8.7981 * CHOOSE(CONTROL!$C$19, $C$13, 100%, $E$13)</f>
        <v>8.7980999999999998</v>
      </c>
    </row>
    <row r="551" spans="1:11" ht="15">
      <c r="A551" s="13">
        <v>58623</v>
      </c>
      <c r="B551" s="60">
        <f>7.6643 * CHOOSE(CONTROL!$C$19, $C$13, 100%, $E$13)</f>
        <v>7.6642999999999999</v>
      </c>
      <c r="C551" s="60">
        <f>7.6643 * CHOOSE(CONTROL!$C$19, $C$13, 100%, $E$13)</f>
        <v>7.6642999999999999</v>
      </c>
      <c r="D551" s="60">
        <f>7.6947 * CHOOSE(CONTROL!$C$19, $C$13, 100%, $E$13)</f>
        <v>7.6947000000000001</v>
      </c>
      <c r="E551" s="61">
        <f>8.9608 * CHOOSE(CONTROL!$C$19, $C$13, 100%, $E$13)</f>
        <v>8.9608000000000008</v>
      </c>
      <c r="F551" s="61">
        <f>8.9608 * CHOOSE(CONTROL!$C$19, $C$13, 100%, $E$13)</f>
        <v>8.9608000000000008</v>
      </c>
      <c r="G551" s="61">
        <f>8.9627 * CHOOSE(CONTROL!$C$19, $C$13, 100%, $E$13)</f>
        <v>8.9626999999999999</v>
      </c>
      <c r="H551" s="61">
        <f>12.679* CHOOSE(CONTROL!$C$19, $C$13, 100%, $E$13)</f>
        <v>12.679</v>
      </c>
      <c r="I551" s="61">
        <f>12.6809 * CHOOSE(CONTROL!$C$19, $C$13, 100%, $E$13)</f>
        <v>12.680899999999999</v>
      </c>
      <c r="J551" s="61">
        <f>8.9608 * CHOOSE(CONTROL!$C$19, $C$13, 100%, $E$13)</f>
        <v>8.9608000000000008</v>
      </c>
      <c r="K551" s="61">
        <f>8.9627 * CHOOSE(CONTROL!$C$19, $C$13, 100%, $E$13)</f>
        <v>8.9626999999999999</v>
      </c>
    </row>
    <row r="552" spans="1:11" ht="15">
      <c r="A552" s="13">
        <v>58654</v>
      </c>
      <c r="B552" s="60">
        <f>7.671 * CHOOSE(CONTROL!$C$19, $C$13, 100%, $E$13)</f>
        <v>7.6710000000000003</v>
      </c>
      <c r="C552" s="60">
        <f>7.671 * CHOOSE(CONTROL!$C$19, $C$13, 100%, $E$13)</f>
        <v>7.6710000000000003</v>
      </c>
      <c r="D552" s="60">
        <f>7.7014 * CHOOSE(CONTROL!$C$19, $C$13, 100%, $E$13)</f>
        <v>7.7013999999999996</v>
      </c>
      <c r="E552" s="61">
        <f>8.8358 * CHOOSE(CONTROL!$C$19, $C$13, 100%, $E$13)</f>
        <v>8.8358000000000008</v>
      </c>
      <c r="F552" s="61">
        <f>8.8358 * CHOOSE(CONTROL!$C$19, $C$13, 100%, $E$13)</f>
        <v>8.8358000000000008</v>
      </c>
      <c r="G552" s="61">
        <f>8.8377 * CHOOSE(CONTROL!$C$19, $C$13, 100%, $E$13)</f>
        <v>8.8376999999999999</v>
      </c>
      <c r="H552" s="61">
        <f>12.7054* CHOOSE(CONTROL!$C$19, $C$13, 100%, $E$13)</f>
        <v>12.705399999999999</v>
      </c>
      <c r="I552" s="61">
        <f>12.7073 * CHOOSE(CONTROL!$C$19, $C$13, 100%, $E$13)</f>
        <v>12.7073</v>
      </c>
      <c r="J552" s="61">
        <f>8.8358 * CHOOSE(CONTROL!$C$19, $C$13, 100%, $E$13)</f>
        <v>8.8358000000000008</v>
      </c>
      <c r="K552" s="61">
        <f>8.8377 * CHOOSE(CONTROL!$C$19, $C$13, 100%, $E$13)</f>
        <v>8.8376999999999999</v>
      </c>
    </row>
    <row r="553" spans="1:11" ht="15">
      <c r="A553" s="13">
        <v>58685</v>
      </c>
      <c r="B553" s="60">
        <f>7.668 * CHOOSE(CONTROL!$C$19, $C$13, 100%, $E$13)</f>
        <v>7.6680000000000001</v>
      </c>
      <c r="C553" s="60">
        <f>7.668 * CHOOSE(CONTROL!$C$19, $C$13, 100%, $E$13)</f>
        <v>7.6680000000000001</v>
      </c>
      <c r="D553" s="60">
        <f>7.6983 * CHOOSE(CONTROL!$C$19, $C$13, 100%, $E$13)</f>
        <v>7.6982999999999997</v>
      </c>
      <c r="E553" s="61">
        <f>8.8193 * CHOOSE(CONTROL!$C$19, $C$13, 100%, $E$13)</f>
        <v>8.8193000000000001</v>
      </c>
      <c r="F553" s="61">
        <f>8.8193 * CHOOSE(CONTROL!$C$19, $C$13, 100%, $E$13)</f>
        <v>8.8193000000000001</v>
      </c>
      <c r="G553" s="61">
        <f>8.8212 * CHOOSE(CONTROL!$C$19, $C$13, 100%, $E$13)</f>
        <v>8.8211999999999993</v>
      </c>
      <c r="H553" s="61">
        <f>12.7319* CHOOSE(CONTROL!$C$19, $C$13, 100%, $E$13)</f>
        <v>12.7319</v>
      </c>
      <c r="I553" s="61">
        <f>12.7338 * CHOOSE(CONTROL!$C$19, $C$13, 100%, $E$13)</f>
        <v>12.7338</v>
      </c>
      <c r="J553" s="61">
        <f>8.8193 * CHOOSE(CONTROL!$C$19, $C$13, 100%, $E$13)</f>
        <v>8.8193000000000001</v>
      </c>
      <c r="K553" s="61">
        <f>8.8212 * CHOOSE(CONTROL!$C$19, $C$13, 100%, $E$13)</f>
        <v>8.8211999999999993</v>
      </c>
    </row>
    <row r="554" spans="1:11" ht="15">
      <c r="A554" s="13">
        <v>58715</v>
      </c>
      <c r="B554" s="60">
        <f>7.677 * CHOOSE(CONTROL!$C$19, $C$13, 100%, $E$13)</f>
        <v>7.6769999999999996</v>
      </c>
      <c r="C554" s="60">
        <f>7.677 * CHOOSE(CONTROL!$C$19, $C$13, 100%, $E$13)</f>
        <v>7.6769999999999996</v>
      </c>
      <c r="D554" s="60">
        <f>7.6922 * CHOOSE(CONTROL!$C$19, $C$13, 100%, $E$13)</f>
        <v>7.6921999999999997</v>
      </c>
      <c r="E554" s="61">
        <f>8.8635 * CHOOSE(CONTROL!$C$19, $C$13, 100%, $E$13)</f>
        <v>8.8635000000000002</v>
      </c>
      <c r="F554" s="61">
        <f>8.8635 * CHOOSE(CONTROL!$C$19, $C$13, 100%, $E$13)</f>
        <v>8.8635000000000002</v>
      </c>
      <c r="G554" s="61">
        <f>8.8637 * CHOOSE(CONTROL!$C$19, $C$13, 100%, $E$13)</f>
        <v>8.8636999999999997</v>
      </c>
      <c r="H554" s="61">
        <f>12.7584* CHOOSE(CONTROL!$C$19, $C$13, 100%, $E$13)</f>
        <v>12.7584</v>
      </c>
      <c r="I554" s="61">
        <f>12.7586 * CHOOSE(CONTROL!$C$19, $C$13, 100%, $E$13)</f>
        <v>12.758599999999999</v>
      </c>
      <c r="J554" s="61">
        <f>8.8635 * CHOOSE(CONTROL!$C$19, $C$13, 100%, $E$13)</f>
        <v>8.8635000000000002</v>
      </c>
      <c r="K554" s="61">
        <f>8.8637 * CHOOSE(CONTROL!$C$19, $C$13, 100%, $E$13)</f>
        <v>8.8636999999999997</v>
      </c>
    </row>
    <row r="555" spans="1:11" ht="15">
      <c r="A555" s="13">
        <v>58746</v>
      </c>
      <c r="B555" s="60">
        <f>7.68 * CHOOSE(CONTROL!$C$19, $C$13, 100%, $E$13)</f>
        <v>7.68</v>
      </c>
      <c r="C555" s="60">
        <f>7.68 * CHOOSE(CONTROL!$C$19, $C$13, 100%, $E$13)</f>
        <v>7.68</v>
      </c>
      <c r="D555" s="60">
        <f>7.6952 * CHOOSE(CONTROL!$C$19, $C$13, 100%, $E$13)</f>
        <v>7.6951999999999998</v>
      </c>
      <c r="E555" s="61">
        <f>8.8944 * CHOOSE(CONTROL!$C$19, $C$13, 100%, $E$13)</f>
        <v>8.8943999999999992</v>
      </c>
      <c r="F555" s="61">
        <f>8.8944 * CHOOSE(CONTROL!$C$19, $C$13, 100%, $E$13)</f>
        <v>8.8943999999999992</v>
      </c>
      <c r="G555" s="61">
        <f>8.8946 * CHOOSE(CONTROL!$C$19, $C$13, 100%, $E$13)</f>
        <v>8.8946000000000005</v>
      </c>
      <c r="H555" s="61">
        <f>12.785* CHOOSE(CONTROL!$C$19, $C$13, 100%, $E$13)</f>
        <v>12.785</v>
      </c>
      <c r="I555" s="61">
        <f>12.7851 * CHOOSE(CONTROL!$C$19, $C$13, 100%, $E$13)</f>
        <v>12.7851</v>
      </c>
      <c r="J555" s="61">
        <f>8.8944 * CHOOSE(CONTROL!$C$19, $C$13, 100%, $E$13)</f>
        <v>8.8943999999999992</v>
      </c>
      <c r="K555" s="61">
        <f>8.8946 * CHOOSE(CONTROL!$C$19, $C$13, 100%, $E$13)</f>
        <v>8.8946000000000005</v>
      </c>
    </row>
    <row r="556" spans="1:11" ht="15">
      <c r="A556" s="13">
        <v>58776</v>
      </c>
      <c r="B556" s="60">
        <f>7.68 * CHOOSE(CONTROL!$C$19, $C$13, 100%, $E$13)</f>
        <v>7.68</v>
      </c>
      <c r="C556" s="60">
        <f>7.68 * CHOOSE(CONTROL!$C$19, $C$13, 100%, $E$13)</f>
        <v>7.68</v>
      </c>
      <c r="D556" s="60">
        <f>7.6952 * CHOOSE(CONTROL!$C$19, $C$13, 100%, $E$13)</f>
        <v>7.6951999999999998</v>
      </c>
      <c r="E556" s="61">
        <f>8.8224 * CHOOSE(CONTROL!$C$19, $C$13, 100%, $E$13)</f>
        <v>8.8224</v>
      </c>
      <c r="F556" s="61">
        <f>8.8224 * CHOOSE(CONTROL!$C$19, $C$13, 100%, $E$13)</f>
        <v>8.8224</v>
      </c>
      <c r="G556" s="61">
        <f>8.8226 * CHOOSE(CONTROL!$C$19, $C$13, 100%, $E$13)</f>
        <v>8.8225999999999996</v>
      </c>
      <c r="H556" s="61">
        <f>12.8116* CHOOSE(CONTROL!$C$19, $C$13, 100%, $E$13)</f>
        <v>12.8116</v>
      </c>
      <c r="I556" s="61">
        <f>12.8118 * CHOOSE(CONTROL!$C$19, $C$13, 100%, $E$13)</f>
        <v>12.8118</v>
      </c>
      <c r="J556" s="61">
        <f>8.8224 * CHOOSE(CONTROL!$C$19, $C$13, 100%, $E$13)</f>
        <v>8.8224</v>
      </c>
      <c r="K556" s="61">
        <f>8.8226 * CHOOSE(CONTROL!$C$19, $C$13, 100%, $E$13)</f>
        <v>8.8225999999999996</v>
      </c>
    </row>
    <row r="557" spans="1:11" ht="15">
      <c r="A557" s="13">
        <v>58807</v>
      </c>
      <c r="B557" s="60">
        <f>7.7442 * CHOOSE(CONTROL!$C$19, $C$13, 100%, $E$13)</f>
        <v>7.7442000000000002</v>
      </c>
      <c r="C557" s="60">
        <f>7.7442 * CHOOSE(CONTROL!$C$19, $C$13, 100%, $E$13)</f>
        <v>7.7442000000000002</v>
      </c>
      <c r="D557" s="60">
        <f>7.7594 * CHOOSE(CONTROL!$C$19, $C$13, 100%, $E$13)</f>
        <v>7.7594000000000003</v>
      </c>
      <c r="E557" s="61">
        <f>8.959 * CHOOSE(CONTROL!$C$19, $C$13, 100%, $E$13)</f>
        <v>8.9589999999999996</v>
      </c>
      <c r="F557" s="61">
        <f>8.959 * CHOOSE(CONTROL!$C$19, $C$13, 100%, $E$13)</f>
        <v>8.9589999999999996</v>
      </c>
      <c r="G557" s="61">
        <f>8.9592 * CHOOSE(CONTROL!$C$19, $C$13, 100%, $E$13)</f>
        <v>8.9591999999999992</v>
      </c>
      <c r="H557" s="61">
        <f>12.8383* CHOOSE(CONTROL!$C$19, $C$13, 100%, $E$13)</f>
        <v>12.8383</v>
      </c>
      <c r="I557" s="61">
        <f>12.8385 * CHOOSE(CONTROL!$C$19, $C$13, 100%, $E$13)</f>
        <v>12.8385</v>
      </c>
      <c r="J557" s="61">
        <f>8.959 * CHOOSE(CONTROL!$C$19, $C$13, 100%, $E$13)</f>
        <v>8.9589999999999996</v>
      </c>
      <c r="K557" s="61">
        <f>8.9592 * CHOOSE(CONTROL!$C$19, $C$13, 100%, $E$13)</f>
        <v>8.9591999999999992</v>
      </c>
    </row>
    <row r="558" spans="1:11" ht="15">
      <c r="A558" s="13">
        <v>58838</v>
      </c>
      <c r="B558" s="60">
        <f>7.7412 * CHOOSE(CONTROL!$C$19, $C$13, 100%, $E$13)</f>
        <v>7.7412000000000001</v>
      </c>
      <c r="C558" s="60">
        <f>7.7412 * CHOOSE(CONTROL!$C$19, $C$13, 100%, $E$13)</f>
        <v>7.7412000000000001</v>
      </c>
      <c r="D558" s="60">
        <f>7.7563 * CHOOSE(CONTROL!$C$19, $C$13, 100%, $E$13)</f>
        <v>7.7563000000000004</v>
      </c>
      <c r="E558" s="61">
        <f>8.8164 * CHOOSE(CONTROL!$C$19, $C$13, 100%, $E$13)</f>
        <v>8.8163999999999998</v>
      </c>
      <c r="F558" s="61">
        <f>8.8164 * CHOOSE(CONTROL!$C$19, $C$13, 100%, $E$13)</f>
        <v>8.8163999999999998</v>
      </c>
      <c r="G558" s="61">
        <f>8.8166 * CHOOSE(CONTROL!$C$19, $C$13, 100%, $E$13)</f>
        <v>8.8165999999999993</v>
      </c>
      <c r="H558" s="61">
        <f>12.865* CHOOSE(CONTROL!$C$19, $C$13, 100%, $E$13)</f>
        <v>12.865</v>
      </c>
      <c r="I558" s="61">
        <f>12.8652 * CHOOSE(CONTROL!$C$19, $C$13, 100%, $E$13)</f>
        <v>12.8652</v>
      </c>
      <c r="J558" s="61">
        <f>8.8164 * CHOOSE(CONTROL!$C$19, $C$13, 100%, $E$13)</f>
        <v>8.8163999999999998</v>
      </c>
      <c r="K558" s="61">
        <f>8.8166 * CHOOSE(CONTROL!$C$19, $C$13, 100%, $E$13)</f>
        <v>8.8165999999999993</v>
      </c>
    </row>
    <row r="559" spans="1:11" ht="15">
      <c r="A559" s="13">
        <v>58866</v>
      </c>
      <c r="B559" s="60">
        <f>7.7381 * CHOOSE(CONTROL!$C$19, $C$13, 100%, $E$13)</f>
        <v>7.7381000000000002</v>
      </c>
      <c r="C559" s="60">
        <f>7.7381 * CHOOSE(CONTROL!$C$19, $C$13, 100%, $E$13)</f>
        <v>7.7381000000000002</v>
      </c>
      <c r="D559" s="60">
        <f>7.7533 * CHOOSE(CONTROL!$C$19, $C$13, 100%, $E$13)</f>
        <v>7.7533000000000003</v>
      </c>
      <c r="E559" s="61">
        <f>8.925 * CHOOSE(CONTROL!$C$19, $C$13, 100%, $E$13)</f>
        <v>8.9250000000000007</v>
      </c>
      <c r="F559" s="61">
        <f>8.925 * CHOOSE(CONTROL!$C$19, $C$13, 100%, $E$13)</f>
        <v>8.9250000000000007</v>
      </c>
      <c r="G559" s="61">
        <f>8.9252 * CHOOSE(CONTROL!$C$19, $C$13, 100%, $E$13)</f>
        <v>8.9252000000000002</v>
      </c>
      <c r="H559" s="61">
        <f>12.8918* CHOOSE(CONTROL!$C$19, $C$13, 100%, $E$13)</f>
        <v>12.8918</v>
      </c>
      <c r="I559" s="61">
        <f>12.892 * CHOOSE(CONTROL!$C$19, $C$13, 100%, $E$13)</f>
        <v>12.891999999999999</v>
      </c>
      <c r="J559" s="61">
        <f>8.925 * CHOOSE(CONTROL!$C$19, $C$13, 100%, $E$13)</f>
        <v>8.9250000000000007</v>
      </c>
      <c r="K559" s="61">
        <f>8.9252 * CHOOSE(CONTROL!$C$19, $C$13, 100%, $E$13)</f>
        <v>8.9252000000000002</v>
      </c>
    </row>
    <row r="560" spans="1:11" ht="15">
      <c r="A560" s="13">
        <v>58897</v>
      </c>
      <c r="B560" s="60">
        <f>7.7395 * CHOOSE(CONTROL!$C$19, $C$13, 100%, $E$13)</f>
        <v>7.7394999999999996</v>
      </c>
      <c r="C560" s="60">
        <f>7.7395 * CHOOSE(CONTROL!$C$19, $C$13, 100%, $E$13)</f>
        <v>7.7394999999999996</v>
      </c>
      <c r="D560" s="60">
        <f>7.7547 * CHOOSE(CONTROL!$C$19, $C$13, 100%, $E$13)</f>
        <v>7.7546999999999997</v>
      </c>
      <c r="E560" s="61">
        <f>9.0397 * CHOOSE(CONTROL!$C$19, $C$13, 100%, $E$13)</f>
        <v>9.0396999999999998</v>
      </c>
      <c r="F560" s="61">
        <f>9.0397 * CHOOSE(CONTROL!$C$19, $C$13, 100%, $E$13)</f>
        <v>9.0396999999999998</v>
      </c>
      <c r="G560" s="61">
        <f>9.0398 * CHOOSE(CONTROL!$C$19, $C$13, 100%, $E$13)</f>
        <v>9.0397999999999996</v>
      </c>
      <c r="H560" s="61">
        <f>12.9187* CHOOSE(CONTROL!$C$19, $C$13, 100%, $E$13)</f>
        <v>12.918699999999999</v>
      </c>
      <c r="I560" s="61">
        <f>12.9189 * CHOOSE(CONTROL!$C$19, $C$13, 100%, $E$13)</f>
        <v>12.918900000000001</v>
      </c>
      <c r="J560" s="61">
        <f>9.0397 * CHOOSE(CONTROL!$C$19, $C$13, 100%, $E$13)</f>
        <v>9.0396999999999998</v>
      </c>
      <c r="K560" s="61">
        <f>9.0398 * CHOOSE(CONTROL!$C$19, $C$13, 100%, $E$13)</f>
        <v>9.0397999999999996</v>
      </c>
    </row>
    <row r="561" spans="1:11" ht="15">
      <c r="A561" s="13">
        <v>58927</v>
      </c>
      <c r="B561" s="60">
        <f>7.7395 * CHOOSE(CONTROL!$C$19, $C$13, 100%, $E$13)</f>
        <v>7.7394999999999996</v>
      </c>
      <c r="C561" s="60">
        <f>7.7395 * CHOOSE(CONTROL!$C$19, $C$13, 100%, $E$13)</f>
        <v>7.7394999999999996</v>
      </c>
      <c r="D561" s="60">
        <f>7.7698 * CHOOSE(CONTROL!$C$19, $C$13, 100%, $E$13)</f>
        <v>7.7698</v>
      </c>
      <c r="E561" s="61">
        <f>9.0842 * CHOOSE(CONTROL!$C$19, $C$13, 100%, $E$13)</f>
        <v>9.0841999999999992</v>
      </c>
      <c r="F561" s="61">
        <f>9.0842 * CHOOSE(CONTROL!$C$19, $C$13, 100%, $E$13)</f>
        <v>9.0841999999999992</v>
      </c>
      <c r="G561" s="61">
        <f>9.0861 * CHOOSE(CONTROL!$C$19, $C$13, 100%, $E$13)</f>
        <v>9.0861000000000001</v>
      </c>
      <c r="H561" s="61">
        <f>12.9456* CHOOSE(CONTROL!$C$19, $C$13, 100%, $E$13)</f>
        <v>12.945600000000001</v>
      </c>
      <c r="I561" s="61">
        <f>12.9475 * CHOOSE(CONTROL!$C$19, $C$13, 100%, $E$13)</f>
        <v>12.9475</v>
      </c>
      <c r="J561" s="61">
        <f>9.0842 * CHOOSE(CONTROL!$C$19, $C$13, 100%, $E$13)</f>
        <v>9.0841999999999992</v>
      </c>
      <c r="K561" s="61">
        <f>9.0861 * CHOOSE(CONTROL!$C$19, $C$13, 100%, $E$13)</f>
        <v>9.0861000000000001</v>
      </c>
    </row>
    <row r="562" spans="1:11" ht="15">
      <c r="A562" s="13">
        <v>58958</v>
      </c>
      <c r="B562" s="60">
        <f>7.7456 * CHOOSE(CONTROL!$C$19, $C$13, 100%, $E$13)</f>
        <v>7.7455999999999996</v>
      </c>
      <c r="C562" s="60">
        <f>7.7456 * CHOOSE(CONTROL!$C$19, $C$13, 100%, $E$13)</f>
        <v>7.7455999999999996</v>
      </c>
      <c r="D562" s="60">
        <f>7.7759 * CHOOSE(CONTROL!$C$19, $C$13, 100%, $E$13)</f>
        <v>7.7759</v>
      </c>
      <c r="E562" s="61">
        <f>9.0439 * CHOOSE(CONTROL!$C$19, $C$13, 100%, $E$13)</f>
        <v>9.0439000000000007</v>
      </c>
      <c r="F562" s="61">
        <f>9.0439 * CHOOSE(CONTROL!$C$19, $C$13, 100%, $E$13)</f>
        <v>9.0439000000000007</v>
      </c>
      <c r="G562" s="61">
        <f>9.0458 * CHOOSE(CONTROL!$C$19, $C$13, 100%, $E$13)</f>
        <v>9.0457999999999998</v>
      </c>
      <c r="H562" s="61">
        <f>12.9726* CHOOSE(CONTROL!$C$19, $C$13, 100%, $E$13)</f>
        <v>12.9726</v>
      </c>
      <c r="I562" s="61">
        <f>12.9745 * CHOOSE(CONTROL!$C$19, $C$13, 100%, $E$13)</f>
        <v>12.974500000000001</v>
      </c>
      <c r="J562" s="61">
        <f>9.0439 * CHOOSE(CONTROL!$C$19, $C$13, 100%, $E$13)</f>
        <v>9.0439000000000007</v>
      </c>
      <c r="K562" s="61">
        <f>9.0458 * CHOOSE(CONTROL!$C$19, $C$13, 100%, $E$13)</f>
        <v>9.0457999999999998</v>
      </c>
    </row>
    <row r="563" spans="1:11" ht="15">
      <c r="A563" s="13">
        <v>58988</v>
      </c>
      <c r="B563" s="60">
        <f>7.8587 * CHOOSE(CONTROL!$C$19, $C$13, 100%, $E$13)</f>
        <v>7.8586999999999998</v>
      </c>
      <c r="C563" s="60">
        <f>7.8587 * CHOOSE(CONTROL!$C$19, $C$13, 100%, $E$13)</f>
        <v>7.8586999999999998</v>
      </c>
      <c r="D563" s="60">
        <f>7.889 * CHOOSE(CONTROL!$C$19, $C$13, 100%, $E$13)</f>
        <v>7.8890000000000002</v>
      </c>
      <c r="E563" s="61">
        <f>9.2128 * CHOOSE(CONTROL!$C$19, $C$13, 100%, $E$13)</f>
        <v>9.2127999999999997</v>
      </c>
      <c r="F563" s="61">
        <f>9.2128 * CHOOSE(CONTROL!$C$19, $C$13, 100%, $E$13)</f>
        <v>9.2127999999999997</v>
      </c>
      <c r="G563" s="61">
        <f>9.2147 * CHOOSE(CONTROL!$C$19, $C$13, 100%, $E$13)</f>
        <v>9.2147000000000006</v>
      </c>
      <c r="H563" s="61">
        <f>12.9996* CHOOSE(CONTROL!$C$19, $C$13, 100%, $E$13)</f>
        <v>12.999599999999999</v>
      </c>
      <c r="I563" s="61">
        <f>13.0015 * CHOOSE(CONTROL!$C$19, $C$13, 100%, $E$13)</f>
        <v>13.0015</v>
      </c>
      <c r="J563" s="61">
        <f>9.2128 * CHOOSE(CONTROL!$C$19, $C$13, 100%, $E$13)</f>
        <v>9.2127999999999997</v>
      </c>
      <c r="K563" s="61">
        <f>9.2147 * CHOOSE(CONTROL!$C$19, $C$13, 100%, $E$13)</f>
        <v>9.2147000000000006</v>
      </c>
    </row>
    <row r="564" spans="1:11" ht="15">
      <c r="A564" s="13">
        <v>59019</v>
      </c>
      <c r="B564" s="60">
        <f>7.8654 * CHOOSE(CONTROL!$C$19, $C$13, 100%, $E$13)</f>
        <v>7.8654000000000002</v>
      </c>
      <c r="C564" s="60">
        <f>7.8654 * CHOOSE(CONTROL!$C$19, $C$13, 100%, $E$13)</f>
        <v>7.8654000000000002</v>
      </c>
      <c r="D564" s="60">
        <f>7.8957 * CHOOSE(CONTROL!$C$19, $C$13, 100%, $E$13)</f>
        <v>7.8956999999999997</v>
      </c>
      <c r="E564" s="61">
        <f>9.0837 * CHOOSE(CONTROL!$C$19, $C$13, 100%, $E$13)</f>
        <v>9.0837000000000003</v>
      </c>
      <c r="F564" s="61">
        <f>9.0837 * CHOOSE(CONTROL!$C$19, $C$13, 100%, $E$13)</f>
        <v>9.0837000000000003</v>
      </c>
      <c r="G564" s="61">
        <f>9.0856 * CHOOSE(CONTROL!$C$19, $C$13, 100%, $E$13)</f>
        <v>9.0855999999999995</v>
      </c>
      <c r="H564" s="61">
        <f>13.0267* CHOOSE(CONTROL!$C$19, $C$13, 100%, $E$13)</f>
        <v>13.0267</v>
      </c>
      <c r="I564" s="61">
        <f>13.0286 * CHOOSE(CONTROL!$C$19, $C$13, 100%, $E$13)</f>
        <v>13.028600000000001</v>
      </c>
      <c r="J564" s="61">
        <f>9.0837 * CHOOSE(CONTROL!$C$19, $C$13, 100%, $E$13)</f>
        <v>9.0837000000000003</v>
      </c>
      <c r="K564" s="61">
        <f>9.0856 * CHOOSE(CONTROL!$C$19, $C$13, 100%, $E$13)</f>
        <v>9.0855999999999995</v>
      </c>
    </row>
    <row r="565" spans="1:11" ht="15">
      <c r="A565" s="13">
        <v>59050</v>
      </c>
      <c r="B565" s="60">
        <f>7.8623 * CHOOSE(CONTROL!$C$19, $C$13, 100%, $E$13)</f>
        <v>7.8623000000000003</v>
      </c>
      <c r="C565" s="60">
        <f>7.8623 * CHOOSE(CONTROL!$C$19, $C$13, 100%, $E$13)</f>
        <v>7.8623000000000003</v>
      </c>
      <c r="D565" s="60">
        <f>7.8927 * CHOOSE(CONTROL!$C$19, $C$13, 100%, $E$13)</f>
        <v>7.8926999999999996</v>
      </c>
      <c r="E565" s="61">
        <f>9.0667 * CHOOSE(CONTROL!$C$19, $C$13, 100%, $E$13)</f>
        <v>9.0667000000000009</v>
      </c>
      <c r="F565" s="61">
        <f>9.0667 * CHOOSE(CONTROL!$C$19, $C$13, 100%, $E$13)</f>
        <v>9.0667000000000009</v>
      </c>
      <c r="G565" s="61">
        <f>9.0686 * CHOOSE(CONTROL!$C$19, $C$13, 100%, $E$13)</f>
        <v>9.0686</v>
      </c>
      <c r="H565" s="61">
        <f>13.0538* CHOOSE(CONTROL!$C$19, $C$13, 100%, $E$13)</f>
        <v>13.053800000000001</v>
      </c>
      <c r="I565" s="61">
        <f>13.0557 * CHOOSE(CONTROL!$C$19, $C$13, 100%, $E$13)</f>
        <v>13.0557</v>
      </c>
      <c r="J565" s="61">
        <f>9.0667 * CHOOSE(CONTROL!$C$19, $C$13, 100%, $E$13)</f>
        <v>9.0667000000000009</v>
      </c>
      <c r="K565" s="61">
        <f>9.0686 * CHOOSE(CONTROL!$C$19, $C$13, 100%, $E$13)</f>
        <v>9.0686</v>
      </c>
    </row>
    <row r="566" spans="1:11" ht="15">
      <c r="A566" s="13">
        <v>59080</v>
      </c>
      <c r="B566" s="60">
        <f>7.8721 * CHOOSE(CONTROL!$C$19, $C$13, 100%, $E$13)</f>
        <v>7.8720999999999997</v>
      </c>
      <c r="C566" s="60">
        <f>7.8721 * CHOOSE(CONTROL!$C$19, $C$13, 100%, $E$13)</f>
        <v>7.8720999999999997</v>
      </c>
      <c r="D566" s="60">
        <f>7.8873 * CHOOSE(CONTROL!$C$19, $C$13, 100%, $E$13)</f>
        <v>7.8872999999999998</v>
      </c>
      <c r="E566" s="61">
        <f>9.1127 * CHOOSE(CONTROL!$C$19, $C$13, 100%, $E$13)</f>
        <v>9.1127000000000002</v>
      </c>
      <c r="F566" s="61">
        <f>9.1127 * CHOOSE(CONTROL!$C$19, $C$13, 100%, $E$13)</f>
        <v>9.1127000000000002</v>
      </c>
      <c r="G566" s="61">
        <f>9.1129 * CHOOSE(CONTROL!$C$19, $C$13, 100%, $E$13)</f>
        <v>9.1128999999999998</v>
      </c>
      <c r="H566" s="61">
        <f>13.081* CHOOSE(CONTROL!$C$19, $C$13, 100%, $E$13)</f>
        <v>13.081</v>
      </c>
      <c r="I566" s="61">
        <f>13.0812 * CHOOSE(CONTROL!$C$19, $C$13, 100%, $E$13)</f>
        <v>13.081200000000001</v>
      </c>
      <c r="J566" s="61">
        <f>9.1127 * CHOOSE(CONTROL!$C$19, $C$13, 100%, $E$13)</f>
        <v>9.1127000000000002</v>
      </c>
      <c r="K566" s="61">
        <f>9.1129 * CHOOSE(CONTROL!$C$19, $C$13, 100%, $E$13)</f>
        <v>9.1128999999999998</v>
      </c>
    </row>
    <row r="567" spans="1:11" ht="15">
      <c r="A567" s="13">
        <v>59111</v>
      </c>
      <c r="B567" s="60">
        <f>7.8751 * CHOOSE(CONTROL!$C$19, $C$13, 100%, $E$13)</f>
        <v>7.8750999999999998</v>
      </c>
      <c r="C567" s="60">
        <f>7.8751 * CHOOSE(CONTROL!$C$19, $C$13, 100%, $E$13)</f>
        <v>7.8750999999999998</v>
      </c>
      <c r="D567" s="60">
        <f>7.8903 * CHOOSE(CONTROL!$C$19, $C$13, 100%, $E$13)</f>
        <v>7.8902999999999999</v>
      </c>
      <c r="E567" s="61">
        <f>9.1446 * CHOOSE(CONTROL!$C$19, $C$13, 100%, $E$13)</f>
        <v>9.1446000000000005</v>
      </c>
      <c r="F567" s="61">
        <f>9.1446 * CHOOSE(CONTROL!$C$19, $C$13, 100%, $E$13)</f>
        <v>9.1446000000000005</v>
      </c>
      <c r="G567" s="61">
        <f>9.1448 * CHOOSE(CONTROL!$C$19, $C$13, 100%, $E$13)</f>
        <v>9.1448</v>
      </c>
      <c r="H567" s="61">
        <f>13.1083* CHOOSE(CONTROL!$C$19, $C$13, 100%, $E$13)</f>
        <v>13.1083</v>
      </c>
      <c r="I567" s="61">
        <f>13.1085 * CHOOSE(CONTROL!$C$19, $C$13, 100%, $E$13)</f>
        <v>13.108499999999999</v>
      </c>
      <c r="J567" s="61">
        <f>9.1446 * CHOOSE(CONTROL!$C$19, $C$13, 100%, $E$13)</f>
        <v>9.1446000000000005</v>
      </c>
      <c r="K567" s="61">
        <f>9.1448 * CHOOSE(CONTROL!$C$19, $C$13, 100%, $E$13)</f>
        <v>9.1448</v>
      </c>
    </row>
    <row r="568" spans="1:11" ht="15">
      <c r="A568" s="13">
        <v>59141</v>
      </c>
      <c r="B568" s="60">
        <f>7.8751 * CHOOSE(CONTROL!$C$19, $C$13, 100%, $E$13)</f>
        <v>7.8750999999999998</v>
      </c>
      <c r="C568" s="60">
        <f>7.8751 * CHOOSE(CONTROL!$C$19, $C$13, 100%, $E$13)</f>
        <v>7.8750999999999998</v>
      </c>
      <c r="D568" s="60">
        <f>7.8903 * CHOOSE(CONTROL!$C$19, $C$13, 100%, $E$13)</f>
        <v>7.8902999999999999</v>
      </c>
      <c r="E568" s="61">
        <f>9.0703 * CHOOSE(CONTROL!$C$19, $C$13, 100%, $E$13)</f>
        <v>9.0702999999999996</v>
      </c>
      <c r="F568" s="61">
        <f>9.0703 * CHOOSE(CONTROL!$C$19, $C$13, 100%, $E$13)</f>
        <v>9.0702999999999996</v>
      </c>
      <c r="G568" s="61">
        <f>9.0705 * CHOOSE(CONTROL!$C$19, $C$13, 100%, $E$13)</f>
        <v>9.0704999999999991</v>
      </c>
      <c r="H568" s="61">
        <f>13.1356* CHOOSE(CONTROL!$C$19, $C$13, 100%, $E$13)</f>
        <v>13.1356</v>
      </c>
      <c r="I568" s="61">
        <f>13.1358 * CHOOSE(CONTROL!$C$19, $C$13, 100%, $E$13)</f>
        <v>13.1358</v>
      </c>
      <c r="J568" s="61">
        <f>9.0703 * CHOOSE(CONTROL!$C$19, $C$13, 100%, $E$13)</f>
        <v>9.0702999999999996</v>
      </c>
      <c r="K568" s="61">
        <f>9.0705 * CHOOSE(CONTROL!$C$19, $C$13, 100%, $E$13)</f>
        <v>9.0704999999999991</v>
      </c>
    </row>
    <row r="569" spans="1:11" ht="15">
      <c r="A569" s="13">
        <v>59172</v>
      </c>
      <c r="B569" s="60">
        <f>7.9408 * CHOOSE(CONTROL!$C$19, $C$13, 100%, $E$13)</f>
        <v>7.9408000000000003</v>
      </c>
      <c r="C569" s="60">
        <f>7.9408 * CHOOSE(CONTROL!$C$19, $C$13, 100%, $E$13)</f>
        <v>7.9408000000000003</v>
      </c>
      <c r="D569" s="60">
        <f>7.956 * CHOOSE(CONTROL!$C$19, $C$13, 100%, $E$13)</f>
        <v>7.9560000000000004</v>
      </c>
      <c r="E569" s="61">
        <f>9.2108 * CHOOSE(CONTROL!$C$19, $C$13, 100%, $E$13)</f>
        <v>9.2108000000000008</v>
      </c>
      <c r="F569" s="61">
        <f>9.2108 * CHOOSE(CONTROL!$C$19, $C$13, 100%, $E$13)</f>
        <v>9.2108000000000008</v>
      </c>
      <c r="G569" s="61">
        <f>9.211 * CHOOSE(CONTROL!$C$19, $C$13, 100%, $E$13)</f>
        <v>9.2110000000000003</v>
      </c>
      <c r="H569" s="61">
        <f>13.163* CHOOSE(CONTROL!$C$19, $C$13, 100%, $E$13)</f>
        <v>13.163</v>
      </c>
      <c r="I569" s="61">
        <f>13.1631 * CHOOSE(CONTROL!$C$19, $C$13, 100%, $E$13)</f>
        <v>13.1631</v>
      </c>
      <c r="J569" s="61">
        <f>9.2108 * CHOOSE(CONTROL!$C$19, $C$13, 100%, $E$13)</f>
        <v>9.2108000000000008</v>
      </c>
      <c r="K569" s="61">
        <f>9.211 * CHOOSE(CONTROL!$C$19, $C$13, 100%, $E$13)</f>
        <v>9.2110000000000003</v>
      </c>
    </row>
    <row r="570" spans="1:11" ht="15">
      <c r="A570" s="13">
        <v>59203</v>
      </c>
      <c r="B570" s="60">
        <f>7.9378 * CHOOSE(CONTROL!$C$19, $C$13, 100%, $E$13)</f>
        <v>7.9378000000000002</v>
      </c>
      <c r="C570" s="60">
        <f>7.9378 * CHOOSE(CONTROL!$C$19, $C$13, 100%, $E$13)</f>
        <v>7.9378000000000002</v>
      </c>
      <c r="D570" s="60">
        <f>7.953 * CHOOSE(CONTROL!$C$19, $C$13, 100%, $E$13)</f>
        <v>7.9530000000000003</v>
      </c>
      <c r="E570" s="61">
        <f>9.0638 * CHOOSE(CONTROL!$C$19, $C$13, 100%, $E$13)</f>
        <v>9.0638000000000005</v>
      </c>
      <c r="F570" s="61">
        <f>9.0638 * CHOOSE(CONTROL!$C$19, $C$13, 100%, $E$13)</f>
        <v>9.0638000000000005</v>
      </c>
      <c r="G570" s="61">
        <f>9.064 * CHOOSE(CONTROL!$C$19, $C$13, 100%, $E$13)</f>
        <v>9.0640000000000001</v>
      </c>
      <c r="H570" s="61">
        <f>13.1904* CHOOSE(CONTROL!$C$19, $C$13, 100%, $E$13)</f>
        <v>13.1904</v>
      </c>
      <c r="I570" s="61">
        <f>13.1906 * CHOOSE(CONTROL!$C$19, $C$13, 100%, $E$13)</f>
        <v>13.1906</v>
      </c>
      <c r="J570" s="61">
        <f>9.0638 * CHOOSE(CONTROL!$C$19, $C$13, 100%, $E$13)</f>
        <v>9.0638000000000005</v>
      </c>
      <c r="K570" s="61">
        <f>9.064 * CHOOSE(CONTROL!$C$19, $C$13, 100%, $E$13)</f>
        <v>9.0640000000000001</v>
      </c>
    </row>
    <row r="571" spans="1:11" ht="15">
      <c r="A571" s="13">
        <v>59231</v>
      </c>
      <c r="B571" s="60">
        <f>7.9347 * CHOOSE(CONTROL!$C$19, $C$13, 100%, $E$13)</f>
        <v>7.9347000000000003</v>
      </c>
      <c r="C571" s="60">
        <f>7.9347 * CHOOSE(CONTROL!$C$19, $C$13, 100%, $E$13)</f>
        <v>7.9347000000000003</v>
      </c>
      <c r="D571" s="60">
        <f>7.9499 * CHOOSE(CONTROL!$C$19, $C$13, 100%, $E$13)</f>
        <v>7.9499000000000004</v>
      </c>
      <c r="E571" s="61">
        <f>9.1759 * CHOOSE(CONTROL!$C$19, $C$13, 100%, $E$13)</f>
        <v>9.1759000000000004</v>
      </c>
      <c r="F571" s="61">
        <f>9.1759 * CHOOSE(CONTROL!$C$19, $C$13, 100%, $E$13)</f>
        <v>9.1759000000000004</v>
      </c>
      <c r="G571" s="61">
        <f>9.1761 * CHOOSE(CONTROL!$C$19, $C$13, 100%, $E$13)</f>
        <v>9.1760999999999999</v>
      </c>
      <c r="H571" s="61">
        <f>13.2179* CHOOSE(CONTROL!$C$19, $C$13, 100%, $E$13)</f>
        <v>13.2179</v>
      </c>
      <c r="I571" s="61">
        <f>13.218 * CHOOSE(CONTROL!$C$19, $C$13, 100%, $E$13)</f>
        <v>13.218</v>
      </c>
      <c r="J571" s="61">
        <f>9.1759 * CHOOSE(CONTROL!$C$19, $C$13, 100%, $E$13)</f>
        <v>9.1759000000000004</v>
      </c>
      <c r="K571" s="61">
        <f>9.1761 * CHOOSE(CONTROL!$C$19, $C$13, 100%, $E$13)</f>
        <v>9.1760999999999999</v>
      </c>
    </row>
    <row r="572" spans="1:11" ht="15">
      <c r="A572" s="13">
        <v>59262</v>
      </c>
      <c r="B572" s="60">
        <f>7.9363 * CHOOSE(CONTROL!$C$19, $C$13, 100%, $E$13)</f>
        <v>7.9363000000000001</v>
      </c>
      <c r="C572" s="60">
        <f>7.9363 * CHOOSE(CONTROL!$C$19, $C$13, 100%, $E$13)</f>
        <v>7.9363000000000001</v>
      </c>
      <c r="D572" s="60">
        <f>7.9515 * CHOOSE(CONTROL!$C$19, $C$13, 100%, $E$13)</f>
        <v>7.9515000000000002</v>
      </c>
      <c r="E572" s="61">
        <f>9.2943 * CHOOSE(CONTROL!$C$19, $C$13, 100%, $E$13)</f>
        <v>9.2942999999999998</v>
      </c>
      <c r="F572" s="61">
        <f>9.2943 * CHOOSE(CONTROL!$C$19, $C$13, 100%, $E$13)</f>
        <v>9.2942999999999998</v>
      </c>
      <c r="G572" s="61">
        <f>9.2945 * CHOOSE(CONTROL!$C$19, $C$13, 100%, $E$13)</f>
        <v>9.2944999999999993</v>
      </c>
      <c r="H572" s="61">
        <f>13.2454* CHOOSE(CONTROL!$C$19, $C$13, 100%, $E$13)</f>
        <v>13.2454</v>
      </c>
      <c r="I572" s="61">
        <f>13.2456 * CHOOSE(CONTROL!$C$19, $C$13, 100%, $E$13)</f>
        <v>13.2456</v>
      </c>
      <c r="J572" s="61">
        <f>9.2943 * CHOOSE(CONTROL!$C$19, $C$13, 100%, $E$13)</f>
        <v>9.2942999999999998</v>
      </c>
      <c r="K572" s="61">
        <f>9.2945 * CHOOSE(CONTROL!$C$19, $C$13, 100%, $E$13)</f>
        <v>9.2944999999999993</v>
      </c>
    </row>
    <row r="573" spans="1:11" ht="15">
      <c r="A573" s="13">
        <v>59292</v>
      </c>
      <c r="B573" s="60">
        <f>7.9363 * CHOOSE(CONTROL!$C$19, $C$13, 100%, $E$13)</f>
        <v>7.9363000000000001</v>
      </c>
      <c r="C573" s="60">
        <f>7.9363 * CHOOSE(CONTROL!$C$19, $C$13, 100%, $E$13)</f>
        <v>7.9363000000000001</v>
      </c>
      <c r="D573" s="60">
        <f>7.9667 * CHOOSE(CONTROL!$C$19, $C$13, 100%, $E$13)</f>
        <v>7.9667000000000003</v>
      </c>
      <c r="E573" s="61">
        <f>9.3403 * CHOOSE(CONTROL!$C$19, $C$13, 100%, $E$13)</f>
        <v>9.3402999999999992</v>
      </c>
      <c r="F573" s="61">
        <f>9.3403 * CHOOSE(CONTROL!$C$19, $C$13, 100%, $E$13)</f>
        <v>9.3402999999999992</v>
      </c>
      <c r="G573" s="61">
        <f>9.3422 * CHOOSE(CONTROL!$C$19, $C$13, 100%, $E$13)</f>
        <v>9.3422000000000001</v>
      </c>
      <c r="H573" s="61">
        <f>13.273* CHOOSE(CONTROL!$C$19, $C$13, 100%, $E$13)</f>
        <v>13.273</v>
      </c>
      <c r="I573" s="61">
        <f>13.2749 * CHOOSE(CONTROL!$C$19, $C$13, 100%, $E$13)</f>
        <v>13.274900000000001</v>
      </c>
      <c r="J573" s="61">
        <f>9.3403 * CHOOSE(CONTROL!$C$19, $C$13, 100%, $E$13)</f>
        <v>9.3402999999999992</v>
      </c>
      <c r="K573" s="61">
        <f>9.3422 * CHOOSE(CONTROL!$C$19, $C$13, 100%, $E$13)</f>
        <v>9.3422000000000001</v>
      </c>
    </row>
    <row r="574" spans="1:11" ht="15">
      <c r="A574" s="13">
        <v>59323</v>
      </c>
      <c r="B574" s="60">
        <f>7.9424 * CHOOSE(CONTROL!$C$19, $C$13, 100%, $E$13)</f>
        <v>7.9424000000000001</v>
      </c>
      <c r="C574" s="60">
        <f>7.9424 * CHOOSE(CONTROL!$C$19, $C$13, 100%, $E$13)</f>
        <v>7.9424000000000001</v>
      </c>
      <c r="D574" s="60">
        <f>7.9727 * CHOOSE(CONTROL!$C$19, $C$13, 100%, $E$13)</f>
        <v>7.9726999999999997</v>
      </c>
      <c r="E574" s="61">
        <f>9.2986 * CHOOSE(CONTROL!$C$19, $C$13, 100%, $E$13)</f>
        <v>9.2986000000000004</v>
      </c>
      <c r="F574" s="61">
        <f>9.2986 * CHOOSE(CONTROL!$C$19, $C$13, 100%, $E$13)</f>
        <v>9.2986000000000004</v>
      </c>
      <c r="G574" s="61">
        <f>9.3005 * CHOOSE(CONTROL!$C$19, $C$13, 100%, $E$13)</f>
        <v>9.3004999999999995</v>
      </c>
      <c r="H574" s="61">
        <f>13.3006* CHOOSE(CONTROL!$C$19, $C$13, 100%, $E$13)</f>
        <v>13.300599999999999</v>
      </c>
      <c r="I574" s="61">
        <f>13.3025 * CHOOSE(CONTROL!$C$19, $C$13, 100%, $E$13)</f>
        <v>13.3025</v>
      </c>
      <c r="J574" s="61">
        <f>9.2986 * CHOOSE(CONTROL!$C$19, $C$13, 100%, $E$13)</f>
        <v>9.2986000000000004</v>
      </c>
      <c r="K574" s="61">
        <f>9.3005 * CHOOSE(CONTROL!$C$19, $C$13, 100%, $E$13)</f>
        <v>9.3004999999999995</v>
      </c>
    </row>
    <row r="575" spans="1:11" ht="15">
      <c r="A575" s="13">
        <v>59353</v>
      </c>
      <c r="B575" s="60">
        <f>8.058 * CHOOSE(CONTROL!$C$19, $C$13, 100%, $E$13)</f>
        <v>8.0579999999999998</v>
      </c>
      <c r="C575" s="60">
        <f>8.058 * CHOOSE(CONTROL!$C$19, $C$13, 100%, $E$13)</f>
        <v>8.0579999999999998</v>
      </c>
      <c r="D575" s="60">
        <f>8.0884 * CHOOSE(CONTROL!$C$19, $C$13, 100%, $E$13)</f>
        <v>8.0884</v>
      </c>
      <c r="E575" s="61">
        <f>9.4719 * CHOOSE(CONTROL!$C$19, $C$13, 100%, $E$13)</f>
        <v>9.4718999999999998</v>
      </c>
      <c r="F575" s="61">
        <f>9.4719 * CHOOSE(CONTROL!$C$19, $C$13, 100%, $E$13)</f>
        <v>9.4718999999999998</v>
      </c>
      <c r="G575" s="61">
        <f>9.4738 * CHOOSE(CONTROL!$C$19, $C$13, 100%, $E$13)</f>
        <v>9.4738000000000007</v>
      </c>
      <c r="H575" s="61">
        <f>13.3284* CHOOSE(CONTROL!$C$19, $C$13, 100%, $E$13)</f>
        <v>13.3284</v>
      </c>
      <c r="I575" s="61">
        <f>13.3303 * CHOOSE(CONTROL!$C$19, $C$13, 100%, $E$13)</f>
        <v>13.330299999999999</v>
      </c>
      <c r="J575" s="61">
        <f>9.4719 * CHOOSE(CONTROL!$C$19, $C$13, 100%, $E$13)</f>
        <v>9.4718999999999998</v>
      </c>
      <c r="K575" s="61">
        <f>9.4738 * CHOOSE(CONTROL!$C$19, $C$13, 100%, $E$13)</f>
        <v>9.4738000000000007</v>
      </c>
    </row>
    <row r="576" spans="1:11" ht="15">
      <c r="A576" s="13">
        <v>59384</v>
      </c>
      <c r="B576" s="60">
        <f>8.0647 * CHOOSE(CONTROL!$C$19, $C$13, 100%, $E$13)</f>
        <v>8.0647000000000002</v>
      </c>
      <c r="C576" s="60">
        <f>8.0647 * CHOOSE(CONTROL!$C$19, $C$13, 100%, $E$13)</f>
        <v>8.0647000000000002</v>
      </c>
      <c r="D576" s="60">
        <f>8.0951 * CHOOSE(CONTROL!$C$19, $C$13, 100%, $E$13)</f>
        <v>8.0951000000000004</v>
      </c>
      <c r="E576" s="61">
        <f>9.3385 * CHOOSE(CONTROL!$C$19, $C$13, 100%, $E$13)</f>
        <v>9.3384999999999998</v>
      </c>
      <c r="F576" s="61">
        <f>9.3385 * CHOOSE(CONTROL!$C$19, $C$13, 100%, $E$13)</f>
        <v>9.3384999999999998</v>
      </c>
      <c r="G576" s="61">
        <f>9.3404 * CHOOSE(CONTROL!$C$19, $C$13, 100%, $E$13)</f>
        <v>9.3404000000000007</v>
      </c>
      <c r="H576" s="61">
        <f>13.3561* CHOOSE(CONTROL!$C$19, $C$13, 100%, $E$13)</f>
        <v>13.3561</v>
      </c>
      <c r="I576" s="61">
        <f>13.358 * CHOOSE(CONTROL!$C$19, $C$13, 100%, $E$13)</f>
        <v>13.358000000000001</v>
      </c>
      <c r="J576" s="61">
        <f>9.3385 * CHOOSE(CONTROL!$C$19, $C$13, 100%, $E$13)</f>
        <v>9.3384999999999998</v>
      </c>
      <c r="K576" s="61">
        <f>9.3404 * CHOOSE(CONTROL!$C$19, $C$13, 100%, $E$13)</f>
        <v>9.3404000000000007</v>
      </c>
    </row>
    <row r="577" spans="1:11" ht="15">
      <c r="A577" s="13">
        <v>59415</v>
      </c>
      <c r="B577" s="60">
        <f>8.0616 * CHOOSE(CONTROL!$C$19, $C$13, 100%, $E$13)</f>
        <v>8.0616000000000003</v>
      </c>
      <c r="C577" s="60">
        <f>8.0616 * CHOOSE(CONTROL!$C$19, $C$13, 100%, $E$13)</f>
        <v>8.0616000000000003</v>
      </c>
      <c r="D577" s="60">
        <f>8.092 * CHOOSE(CONTROL!$C$19, $C$13, 100%, $E$13)</f>
        <v>8.0920000000000005</v>
      </c>
      <c r="E577" s="61">
        <f>9.3211 * CHOOSE(CONTROL!$C$19, $C$13, 100%, $E$13)</f>
        <v>9.3210999999999995</v>
      </c>
      <c r="F577" s="61">
        <f>9.3211 * CHOOSE(CONTROL!$C$19, $C$13, 100%, $E$13)</f>
        <v>9.3210999999999995</v>
      </c>
      <c r="G577" s="61">
        <f>9.323 * CHOOSE(CONTROL!$C$19, $C$13, 100%, $E$13)</f>
        <v>9.3230000000000004</v>
      </c>
      <c r="H577" s="61">
        <f>13.3839* CHOOSE(CONTROL!$C$19, $C$13, 100%, $E$13)</f>
        <v>13.383900000000001</v>
      </c>
      <c r="I577" s="61">
        <f>13.3858 * CHOOSE(CONTROL!$C$19, $C$13, 100%, $E$13)</f>
        <v>13.3858</v>
      </c>
      <c r="J577" s="61">
        <f>9.3211 * CHOOSE(CONTROL!$C$19, $C$13, 100%, $E$13)</f>
        <v>9.3210999999999995</v>
      </c>
      <c r="K577" s="61">
        <f>9.323 * CHOOSE(CONTROL!$C$19, $C$13, 100%, $E$13)</f>
        <v>9.3230000000000004</v>
      </c>
    </row>
    <row r="578" spans="1:11" ht="15">
      <c r="A578" s="13">
        <v>59445</v>
      </c>
      <c r="B578" s="60">
        <f>8.0722 * CHOOSE(CONTROL!$C$19, $C$13, 100%, $E$13)</f>
        <v>8.0722000000000005</v>
      </c>
      <c r="C578" s="60">
        <f>8.0722 * CHOOSE(CONTROL!$C$19, $C$13, 100%, $E$13)</f>
        <v>8.0722000000000005</v>
      </c>
      <c r="D578" s="60">
        <f>8.0874 * CHOOSE(CONTROL!$C$19, $C$13, 100%, $E$13)</f>
        <v>8.0874000000000006</v>
      </c>
      <c r="E578" s="61">
        <f>9.369 * CHOOSE(CONTROL!$C$19, $C$13, 100%, $E$13)</f>
        <v>9.3689999999999998</v>
      </c>
      <c r="F578" s="61">
        <f>9.369 * CHOOSE(CONTROL!$C$19, $C$13, 100%, $E$13)</f>
        <v>9.3689999999999998</v>
      </c>
      <c r="G578" s="61">
        <f>9.3692 * CHOOSE(CONTROL!$C$19, $C$13, 100%, $E$13)</f>
        <v>9.3691999999999993</v>
      </c>
      <c r="H578" s="61">
        <f>13.4118* CHOOSE(CONTROL!$C$19, $C$13, 100%, $E$13)</f>
        <v>13.411799999999999</v>
      </c>
      <c r="I578" s="61">
        <f>13.412 * CHOOSE(CONTROL!$C$19, $C$13, 100%, $E$13)</f>
        <v>13.412000000000001</v>
      </c>
      <c r="J578" s="61">
        <f>9.369 * CHOOSE(CONTROL!$C$19, $C$13, 100%, $E$13)</f>
        <v>9.3689999999999998</v>
      </c>
      <c r="K578" s="61">
        <f>9.3692 * CHOOSE(CONTROL!$C$19, $C$13, 100%, $E$13)</f>
        <v>9.3691999999999993</v>
      </c>
    </row>
    <row r="579" spans="1:11" ht="15">
      <c r="A579" s="13">
        <v>59476</v>
      </c>
      <c r="B579" s="60">
        <f>8.0752 * CHOOSE(CONTROL!$C$19, $C$13, 100%, $E$13)</f>
        <v>8.0752000000000006</v>
      </c>
      <c r="C579" s="60">
        <f>8.0752 * CHOOSE(CONTROL!$C$19, $C$13, 100%, $E$13)</f>
        <v>8.0752000000000006</v>
      </c>
      <c r="D579" s="60">
        <f>8.0904 * CHOOSE(CONTROL!$C$19, $C$13, 100%, $E$13)</f>
        <v>8.0904000000000007</v>
      </c>
      <c r="E579" s="61">
        <f>9.4018 * CHOOSE(CONTROL!$C$19, $C$13, 100%, $E$13)</f>
        <v>9.4017999999999997</v>
      </c>
      <c r="F579" s="61">
        <f>9.4018 * CHOOSE(CONTROL!$C$19, $C$13, 100%, $E$13)</f>
        <v>9.4017999999999997</v>
      </c>
      <c r="G579" s="61">
        <f>9.402 * CHOOSE(CONTROL!$C$19, $C$13, 100%, $E$13)</f>
        <v>9.4019999999999992</v>
      </c>
      <c r="H579" s="61">
        <f>13.4398* CHOOSE(CONTROL!$C$19, $C$13, 100%, $E$13)</f>
        <v>13.4398</v>
      </c>
      <c r="I579" s="61">
        <f>13.4399 * CHOOSE(CONTROL!$C$19, $C$13, 100%, $E$13)</f>
        <v>13.4399</v>
      </c>
      <c r="J579" s="61">
        <f>9.4018 * CHOOSE(CONTROL!$C$19, $C$13, 100%, $E$13)</f>
        <v>9.4017999999999997</v>
      </c>
      <c r="K579" s="61">
        <f>9.402 * CHOOSE(CONTROL!$C$19, $C$13, 100%, $E$13)</f>
        <v>9.4019999999999992</v>
      </c>
    </row>
    <row r="580" spans="1:11" ht="15">
      <c r="A580" s="13">
        <v>59506</v>
      </c>
      <c r="B580" s="60">
        <f>8.0752 * CHOOSE(CONTROL!$C$19, $C$13, 100%, $E$13)</f>
        <v>8.0752000000000006</v>
      </c>
      <c r="C580" s="60">
        <f>8.0752 * CHOOSE(CONTROL!$C$19, $C$13, 100%, $E$13)</f>
        <v>8.0752000000000006</v>
      </c>
      <c r="D580" s="60">
        <f>8.0904 * CHOOSE(CONTROL!$C$19, $C$13, 100%, $E$13)</f>
        <v>8.0904000000000007</v>
      </c>
      <c r="E580" s="61">
        <f>9.3251 * CHOOSE(CONTROL!$C$19, $C$13, 100%, $E$13)</f>
        <v>9.3251000000000008</v>
      </c>
      <c r="F580" s="61">
        <f>9.3251 * CHOOSE(CONTROL!$C$19, $C$13, 100%, $E$13)</f>
        <v>9.3251000000000008</v>
      </c>
      <c r="G580" s="61">
        <f>9.3253 * CHOOSE(CONTROL!$C$19, $C$13, 100%, $E$13)</f>
        <v>9.3253000000000004</v>
      </c>
      <c r="H580" s="61">
        <f>13.4678* CHOOSE(CONTROL!$C$19, $C$13, 100%, $E$13)</f>
        <v>13.4678</v>
      </c>
      <c r="I580" s="61">
        <f>13.4679 * CHOOSE(CONTROL!$C$19, $C$13, 100%, $E$13)</f>
        <v>13.4679</v>
      </c>
      <c r="J580" s="61">
        <f>9.3251 * CHOOSE(CONTROL!$C$19, $C$13, 100%, $E$13)</f>
        <v>9.3251000000000008</v>
      </c>
      <c r="K580" s="61">
        <f>9.3253 * CHOOSE(CONTROL!$C$19, $C$13, 100%, $E$13)</f>
        <v>9.3253000000000004</v>
      </c>
    </row>
    <row r="581" spans="1:11" ht="15">
      <c r="A581" s="13">
        <v>59537</v>
      </c>
      <c r="B581" s="60">
        <f>8.1374 * CHOOSE(CONTROL!$C$19, $C$13, 100%, $E$13)</f>
        <v>8.1373999999999995</v>
      </c>
      <c r="C581" s="60">
        <f>8.1374 * CHOOSE(CONTROL!$C$19, $C$13, 100%, $E$13)</f>
        <v>8.1373999999999995</v>
      </c>
      <c r="D581" s="60">
        <f>8.1526 * CHOOSE(CONTROL!$C$19, $C$13, 100%, $E$13)</f>
        <v>8.1525999999999996</v>
      </c>
      <c r="E581" s="61">
        <f>9.4627 * CHOOSE(CONTROL!$C$19, $C$13, 100%, $E$13)</f>
        <v>9.4626999999999999</v>
      </c>
      <c r="F581" s="61">
        <f>9.4627 * CHOOSE(CONTROL!$C$19, $C$13, 100%, $E$13)</f>
        <v>9.4626999999999999</v>
      </c>
      <c r="G581" s="61">
        <f>9.4628 * CHOOSE(CONTROL!$C$19, $C$13, 100%, $E$13)</f>
        <v>9.4627999999999997</v>
      </c>
      <c r="H581" s="61">
        <f>13.4876* CHOOSE(CONTROL!$C$19, $C$13, 100%, $E$13)</f>
        <v>13.4876</v>
      </c>
      <c r="I581" s="61">
        <f>13.4878 * CHOOSE(CONTROL!$C$19, $C$13, 100%, $E$13)</f>
        <v>13.4878</v>
      </c>
      <c r="J581" s="61">
        <f>9.4627 * CHOOSE(CONTROL!$C$19, $C$13, 100%, $E$13)</f>
        <v>9.4626999999999999</v>
      </c>
      <c r="K581" s="61">
        <f>9.4628 * CHOOSE(CONTROL!$C$19, $C$13, 100%, $E$13)</f>
        <v>9.4627999999999997</v>
      </c>
    </row>
    <row r="582" spans="1:11" ht="15">
      <c r="A582" s="13">
        <v>59568</v>
      </c>
      <c r="B582" s="60">
        <f>8.1344 * CHOOSE(CONTROL!$C$19, $C$13, 100%, $E$13)</f>
        <v>8.1343999999999994</v>
      </c>
      <c r="C582" s="60">
        <f>8.1344 * CHOOSE(CONTROL!$C$19, $C$13, 100%, $E$13)</f>
        <v>8.1343999999999994</v>
      </c>
      <c r="D582" s="60">
        <f>8.1496 * CHOOSE(CONTROL!$C$19, $C$13, 100%, $E$13)</f>
        <v>8.1495999999999995</v>
      </c>
      <c r="E582" s="61">
        <f>9.3112 * CHOOSE(CONTROL!$C$19, $C$13, 100%, $E$13)</f>
        <v>9.3111999999999995</v>
      </c>
      <c r="F582" s="61">
        <f>9.3112 * CHOOSE(CONTROL!$C$19, $C$13, 100%, $E$13)</f>
        <v>9.3111999999999995</v>
      </c>
      <c r="G582" s="61">
        <f>9.3114 * CHOOSE(CONTROL!$C$19, $C$13, 100%, $E$13)</f>
        <v>9.3114000000000008</v>
      </c>
      <c r="H582" s="61">
        <f>13.5157* CHOOSE(CONTROL!$C$19, $C$13, 100%, $E$13)</f>
        <v>13.515700000000001</v>
      </c>
      <c r="I582" s="61">
        <f>13.5159 * CHOOSE(CONTROL!$C$19, $C$13, 100%, $E$13)</f>
        <v>13.5159</v>
      </c>
      <c r="J582" s="61">
        <f>9.3112 * CHOOSE(CONTROL!$C$19, $C$13, 100%, $E$13)</f>
        <v>9.3111999999999995</v>
      </c>
      <c r="K582" s="61">
        <f>9.3114 * CHOOSE(CONTROL!$C$19, $C$13, 100%, $E$13)</f>
        <v>9.3114000000000008</v>
      </c>
    </row>
    <row r="583" spans="1:11" ht="15">
      <c r="A583" s="13">
        <v>59596</v>
      </c>
      <c r="B583" s="60">
        <f>8.1314 * CHOOSE(CONTROL!$C$19, $C$13, 100%, $E$13)</f>
        <v>8.1313999999999993</v>
      </c>
      <c r="C583" s="60">
        <f>8.1314 * CHOOSE(CONTROL!$C$19, $C$13, 100%, $E$13)</f>
        <v>8.1313999999999993</v>
      </c>
      <c r="D583" s="60">
        <f>8.1465 * CHOOSE(CONTROL!$C$19, $C$13, 100%, $E$13)</f>
        <v>8.1464999999999996</v>
      </c>
      <c r="E583" s="61">
        <f>9.4268 * CHOOSE(CONTROL!$C$19, $C$13, 100%, $E$13)</f>
        <v>9.4268000000000001</v>
      </c>
      <c r="F583" s="61">
        <f>9.4268 * CHOOSE(CONTROL!$C$19, $C$13, 100%, $E$13)</f>
        <v>9.4268000000000001</v>
      </c>
      <c r="G583" s="61">
        <f>9.427 * CHOOSE(CONTROL!$C$19, $C$13, 100%, $E$13)</f>
        <v>9.4269999999999996</v>
      </c>
      <c r="H583" s="61">
        <f>13.5439* CHOOSE(CONTROL!$C$19, $C$13, 100%, $E$13)</f>
        <v>13.543900000000001</v>
      </c>
      <c r="I583" s="61">
        <f>13.5441 * CHOOSE(CONTROL!$C$19, $C$13, 100%, $E$13)</f>
        <v>13.5441</v>
      </c>
      <c r="J583" s="61">
        <f>9.4268 * CHOOSE(CONTROL!$C$19, $C$13, 100%, $E$13)</f>
        <v>9.4268000000000001</v>
      </c>
      <c r="K583" s="61">
        <f>9.427 * CHOOSE(CONTROL!$C$19, $C$13, 100%, $E$13)</f>
        <v>9.4269999999999996</v>
      </c>
    </row>
    <row r="584" spans="1:11" ht="15">
      <c r="A584" s="13">
        <v>59627</v>
      </c>
      <c r="B584" s="60">
        <f>8.1331 * CHOOSE(CONTROL!$C$19, $C$13, 100%, $E$13)</f>
        <v>8.1331000000000007</v>
      </c>
      <c r="C584" s="60">
        <f>8.1331 * CHOOSE(CONTROL!$C$19, $C$13, 100%, $E$13)</f>
        <v>8.1331000000000007</v>
      </c>
      <c r="D584" s="60">
        <f>8.1483 * CHOOSE(CONTROL!$C$19, $C$13, 100%, $E$13)</f>
        <v>8.1483000000000008</v>
      </c>
      <c r="E584" s="61">
        <f>9.549 * CHOOSE(CONTROL!$C$19, $C$13, 100%, $E$13)</f>
        <v>9.5489999999999995</v>
      </c>
      <c r="F584" s="61">
        <f>9.549 * CHOOSE(CONTROL!$C$19, $C$13, 100%, $E$13)</f>
        <v>9.5489999999999995</v>
      </c>
      <c r="G584" s="61">
        <f>9.5492 * CHOOSE(CONTROL!$C$19, $C$13, 100%, $E$13)</f>
        <v>9.5492000000000008</v>
      </c>
      <c r="H584" s="61">
        <f>13.5721* CHOOSE(CONTROL!$C$19, $C$13, 100%, $E$13)</f>
        <v>13.572100000000001</v>
      </c>
      <c r="I584" s="61">
        <f>13.5723 * CHOOSE(CONTROL!$C$19, $C$13, 100%, $E$13)</f>
        <v>13.5723</v>
      </c>
      <c r="J584" s="61">
        <f>9.549 * CHOOSE(CONTROL!$C$19, $C$13, 100%, $E$13)</f>
        <v>9.5489999999999995</v>
      </c>
      <c r="K584" s="61">
        <f>9.5492 * CHOOSE(CONTROL!$C$19, $C$13, 100%, $E$13)</f>
        <v>9.5492000000000008</v>
      </c>
    </row>
    <row r="585" spans="1:11" ht="15">
      <c r="A585" s="13">
        <v>59657</v>
      </c>
      <c r="B585" s="60">
        <f>8.1331 * CHOOSE(CONTROL!$C$19, $C$13, 100%, $E$13)</f>
        <v>8.1331000000000007</v>
      </c>
      <c r="C585" s="60">
        <f>8.1331 * CHOOSE(CONTROL!$C$19, $C$13, 100%, $E$13)</f>
        <v>8.1331000000000007</v>
      </c>
      <c r="D585" s="60">
        <f>8.1635 * CHOOSE(CONTROL!$C$19, $C$13, 100%, $E$13)</f>
        <v>8.1635000000000009</v>
      </c>
      <c r="E585" s="61">
        <f>9.5964 * CHOOSE(CONTROL!$C$19, $C$13, 100%, $E$13)</f>
        <v>9.5963999999999992</v>
      </c>
      <c r="F585" s="61">
        <f>9.5964 * CHOOSE(CONTROL!$C$19, $C$13, 100%, $E$13)</f>
        <v>9.5963999999999992</v>
      </c>
      <c r="G585" s="61">
        <f>9.5983 * CHOOSE(CONTROL!$C$19, $C$13, 100%, $E$13)</f>
        <v>9.5983000000000001</v>
      </c>
      <c r="H585" s="61">
        <f>13.6004* CHOOSE(CONTROL!$C$19, $C$13, 100%, $E$13)</f>
        <v>13.6004</v>
      </c>
      <c r="I585" s="61">
        <f>13.6023 * CHOOSE(CONTROL!$C$19, $C$13, 100%, $E$13)</f>
        <v>13.6023</v>
      </c>
      <c r="J585" s="61">
        <f>9.5964 * CHOOSE(CONTROL!$C$19, $C$13, 100%, $E$13)</f>
        <v>9.5963999999999992</v>
      </c>
      <c r="K585" s="61">
        <f>9.5983 * CHOOSE(CONTROL!$C$19, $C$13, 100%, $E$13)</f>
        <v>9.5983000000000001</v>
      </c>
    </row>
    <row r="586" spans="1:11" ht="15">
      <c r="A586" s="13">
        <v>59688</v>
      </c>
      <c r="B586" s="60">
        <f>8.1392 * CHOOSE(CONTROL!$C$19, $C$13, 100%, $E$13)</f>
        <v>8.1392000000000007</v>
      </c>
      <c r="C586" s="60">
        <f>8.1392 * CHOOSE(CONTROL!$C$19, $C$13, 100%, $E$13)</f>
        <v>8.1392000000000007</v>
      </c>
      <c r="D586" s="60">
        <f>8.1695 * CHOOSE(CONTROL!$C$19, $C$13, 100%, $E$13)</f>
        <v>8.1694999999999993</v>
      </c>
      <c r="E586" s="61">
        <f>9.5533 * CHOOSE(CONTROL!$C$19, $C$13, 100%, $E$13)</f>
        <v>9.5533000000000001</v>
      </c>
      <c r="F586" s="61">
        <f>9.5533 * CHOOSE(CONTROL!$C$19, $C$13, 100%, $E$13)</f>
        <v>9.5533000000000001</v>
      </c>
      <c r="G586" s="61">
        <f>9.5552 * CHOOSE(CONTROL!$C$19, $C$13, 100%, $E$13)</f>
        <v>9.5551999999999992</v>
      </c>
      <c r="H586" s="61">
        <f>13.6287* CHOOSE(CONTROL!$C$19, $C$13, 100%, $E$13)</f>
        <v>13.6287</v>
      </c>
      <c r="I586" s="61">
        <f>13.6306 * CHOOSE(CONTROL!$C$19, $C$13, 100%, $E$13)</f>
        <v>13.630599999999999</v>
      </c>
      <c r="J586" s="61">
        <f>9.5533 * CHOOSE(CONTROL!$C$19, $C$13, 100%, $E$13)</f>
        <v>9.5533000000000001</v>
      </c>
      <c r="K586" s="61">
        <f>9.5552 * CHOOSE(CONTROL!$C$19, $C$13, 100%, $E$13)</f>
        <v>9.5551999999999992</v>
      </c>
    </row>
    <row r="587" spans="1:11" ht="15">
      <c r="A587" s="13">
        <v>59718</v>
      </c>
      <c r="B587" s="60">
        <f>8.2573 * CHOOSE(CONTROL!$C$19, $C$13, 100%, $E$13)</f>
        <v>8.2573000000000008</v>
      </c>
      <c r="C587" s="60">
        <f>8.2573 * CHOOSE(CONTROL!$C$19, $C$13, 100%, $E$13)</f>
        <v>8.2573000000000008</v>
      </c>
      <c r="D587" s="60">
        <f>8.2877 * CHOOSE(CONTROL!$C$19, $C$13, 100%, $E$13)</f>
        <v>8.2876999999999992</v>
      </c>
      <c r="E587" s="61">
        <f>9.731 * CHOOSE(CONTROL!$C$19, $C$13, 100%, $E$13)</f>
        <v>9.7309999999999999</v>
      </c>
      <c r="F587" s="61">
        <f>9.731 * CHOOSE(CONTROL!$C$19, $C$13, 100%, $E$13)</f>
        <v>9.7309999999999999</v>
      </c>
      <c r="G587" s="61">
        <f>9.7329 * CHOOSE(CONTROL!$C$19, $C$13, 100%, $E$13)</f>
        <v>9.7329000000000008</v>
      </c>
      <c r="H587" s="61">
        <f>13.6571* CHOOSE(CONTROL!$C$19, $C$13, 100%, $E$13)</f>
        <v>13.6571</v>
      </c>
      <c r="I587" s="61">
        <f>13.659 * CHOOSE(CONTROL!$C$19, $C$13, 100%, $E$13)</f>
        <v>13.659000000000001</v>
      </c>
      <c r="J587" s="61">
        <f>9.731 * CHOOSE(CONTROL!$C$19, $C$13, 100%, $E$13)</f>
        <v>9.7309999999999999</v>
      </c>
      <c r="K587" s="61">
        <f>9.7329 * CHOOSE(CONTROL!$C$19, $C$13, 100%, $E$13)</f>
        <v>9.7329000000000008</v>
      </c>
    </row>
    <row r="588" spans="1:11" ht="15">
      <c r="A588" s="13">
        <v>59749</v>
      </c>
      <c r="B588" s="60">
        <f>8.264 * CHOOSE(CONTROL!$C$19, $C$13, 100%, $E$13)</f>
        <v>8.2639999999999993</v>
      </c>
      <c r="C588" s="60">
        <f>8.264 * CHOOSE(CONTROL!$C$19, $C$13, 100%, $E$13)</f>
        <v>8.2639999999999993</v>
      </c>
      <c r="D588" s="60">
        <f>8.2944 * CHOOSE(CONTROL!$C$19, $C$13, 100%, $E$13)</f>
        <v>8.2943999999999996</v>
      </c>
      <c r="E588" s="61">
        <f>9.5934 * CHOOSE(CONTROL!$C$19, $C$13, 100%, $E$13)</f>
        <v>9.5934000000000008</v>
      </c>
      <c r="F588" s="61">
        <f>9.5934 * CHOOSE(CONTROL!$C$19, $C$13, 100%, $E$13)</f>
        <v>9.5934000000000008</v>
      </c>
      <c r="G588" s="61">
        <f>9.5953 * CHOOSE(CONTROL!$C$19, $C$13, 100%, $E$13)</f>
        <v>9.5952999999999999</v>
      </c>
      <c r="H588" s="61">
        <f>13.6855* CHOOSE(CONTROL!$C$19, $C$13, 100%, $E$13)</f>
        <v>13.685499999999999</v>
      </c>
      <c r="I588" s="61">
        <f>13.6874 * CHOOSE(CONTROL!$C$19, $C$13, 100%, $E$13)</f>
        <v>13.6874</v>
      </c>
      <c r="J588" s="61">
        <f>9.5934 * CHOOSE(CONTROL!$C$19, $C$13, 100%, $E$13)</f>
        <v>9.5934000000000008</v>
      </c>
      <c r="K588" s="61">
        <f>9.5953 * CHOOSE(CONTROL!$C$19, $C$13, 100%, $E$13)</f>
        <v>9.5952999999999999</v>
      </c>
    </row>
    <row r="589" spans="1:11" ht="15">
      <c r="A589" s="13">
        <v>59780</v>
      </c>
      <c r="B589" s="60">
        <f>8.261 * CHOOSE(CONTROL!$C$19, $C$13, 100%, $E$13)</f>
        <v>8.2609999999999992</v>
      </c>
      <c r="C589" s="60">
        <f>8.261 * CHOOSE(CONTROL!$C$19, $C$13, 100%, $E$13)</f>
        <v>8.2609999999999992</v>
      </c>
      <c r="D589" s="60">
        <f>8.2913 * CHOOSE(CONTROL!$C$19, $C$13, 100%, $E$13)</f>
        <v>8.2912999999999997</v>
      </c>
      <c r="E589" s="61">
        <f>9.5755 * CHOOSE(CONTROL!$C$19, $C$13, 100%, $E$13)</f>
        <v>9.5754999999999999</v>
      </c>
      <c r="F589" s="61">
        <f>9.5755 * CHOOSE(CONTROL!$C$19, $C$13, 100%, $E$13)</f>
        <v>9.5754999999999999</v>
      </c>
      <c r="G589" s="61">
        <f>9.5774 * CHOOSE(CONTROL!$C$19, $C$13, 100%, $E$13)</f>
        <v>9.5774000000000008</v>
      </c>
      <c r="H589" s="61">
        <f>13.7141* CHOOSE(CONTROL!$C$19, $C$13, 100%, $E$13)</f>
        <v>13.7141</v>
      </c>
      <c r="I589" s="61">
        <f>13.716 * CHOOSE(CONTROL!$C$19, $C$13, 100%, $E$13)</f>
        <v>13.715999999999999</v>
      </c>
      <c r="J589" s="61">
        <f>9.5755 * CHOOSE(CONTROL!$C$19, $C$13, 100%, $E$13)</f>
        <v>9.5754999999999999</v>
      </c>
      <c r="K589" s="61">
        <f>9.5774 * CHOOSE(CONTROL!$C$19, $C$13, 100%, $E$13)</f>
        <v>9.5774000000000008</v>
      </c>
    </row>
    <row r="590" spans="1:11" ht="15">
      <c r="A590" s="13">
        <v>59810</v>
      </c>
      <c r="B590" s="60">
        <f>8.2722 * CHOOSE(CONTROL!$C$19, $C$13, 100%, $E$13)</f>
        <v>8.2721999999999998</v>
      </c>
      <c r="C590" s="60">
        <f>8.2722 * CHOOSE(CONTROL!$C$19, $C$13, 100%, $E$13)</f>
        <v>8.2721999999999998</v>
      </c>
      <c r="D590" s="60">
        <f>8.2874 * CHOOSE(CONTROL!$C$19, $C$13, 100%, $E$13)</f>
        <v>8.2873999999999999</v>
      </c>
      <c r="E590" s="61">
        <f>9.6253 * CHOOSE(CONTROL!$C$19, $C$13, 100%, $E$13)</f>
        <v>9.6252999999999993</v>
      </c>
      <c r="F590" s="61">
        <f>9.6253 * CHOOSE(CONTROL!$C$19, $C$13, 100%, $E$13)</f>
        <v>9.6252999999999993</v>
      </c>
      <c r="G590" s="61">
        <f>9.6254 * CHOOSE(CONTROL!$C$19, $C$13, 100%, $E$13)</f>
        <v>9.6254000000000008</v>
      </c>
      <c r="H590" s="61">
        <f>13.7426* CHOOSE(CONTROL!$C$19, $C$13, 100%, $E$13)</f>
        <v>13.742599999999999</v>
      </c>
      <c r="I590" s="61">
        <f>13.7428 * CHOOSE(CONTROL!$C$19, $C$13, 100%, $E$13)</f>
        <v>13.742800000000001</v>
      </c>
      <c r="J590" s="61">
        <f>9.6253 * CHOOSE(CONTROL!$C$19, $C$13, 100%, $E$13)</f>
        <v>9.6252999999999993</v>
      </c>
      <c r="K590" s="61">
        <f>9.6254 * CHOOSE(CONTROL!$C$19, $C$13, 100%, $E$13)</f>
        <v>9.6254000000000008</v>
      </c>
    </row>
    <row r="591" spans="1:11" ht="15">
      <c r="A591" s="13">
        <v>59841</v>
      </c>
      <c r="B591" s="60">
        <f>8.2753 * CHOOSE(CONTROL!$C$19, $C$13, 100%, $E$13)</f>
        <v>8.2752999999999997</v>
      </c>
      <c r="C591" s="60">
        <f>8.2753 * CHOOSE(CONTROL!$C$19, $C$13, 100%, $E$13)</f>
        <v>8.2752999999999997</v>
      </c>
      <c r="D591" s="60">
        <f>8.2905 * CHOOSE(CONTROL!$C$19, $C$13, 100%, $E$13)</f>
        <v>8.2904999999999998</v>
      </c>
      <c r="E591" s="61">
        <f>9.659 * CHOOSE(CONTROL!$C$19, $C$13, 100%, $E$13)</f>
        <v>9.6590000000000007</v>
      </c>
      <c r="F591" s="61">
        <f>9.659 * CHOOSE(CONTROL!$C$19, $C$13, 100%, $E$13)</f>
        <v>9.6590000000000007</v>
      </c>
      <c r="G591" s="61">
        <f>9.6592 * CHOOSE(CONTROL!$C$19, $C$13, 100%, $E$13)</f>
        <v>9.6592000000000002</v>
      </c>
      <c r="H591" s="61">
        <f>13.7713* CHOOSE(CONTROL!$C$19, $C$13, 100%, $E$13)</f>
        <v>13.7713</v>
      </c>
      <c r="I591" s="61">
        <f>13.7714 * CHOOSE(CONTROL!$C$19, $C$13, 100%, $E$13)</f>
        <v>13.7714</v>
      </c>
      <c r="J591" s="61">
        <f>9.659 * CHOOSE(CONTROL!$C$19, $C$13, 100%, $E$13)</f>
        <v>9.6590000000000007</v>
      </c>
      <c r="K591" s="61">
        <f>9.6592 * CHOOSE(CONTROL!$C$19, $C$13, 100%, $E$13)</f>
        <v>9.6592000000000002</v>
      </c>
    </row>
    <row r="592" spans="1:11" ht="15">
      <c r="A592" s="13">
        <v>59871</v>
      </c>
      <c r="B592" s="60">
        <f>8.2753 * CHOOSE(CONTROL!$C$19, $C$13, 100%, $E$13)</f>
        <v>8.2752999999999997</v>
      </c>
      <c r="C592" s="60">
        <f>8.2753 * CHOOSE(CONTROL!$C$19, $C$13, 100%, $E$13)</f>
        <v>8.2752999999999997</v>
      </c>
      <c r="D592" s="60">
        <f>8.2905 * CHOOSE(CONTROL!$C$19, $C$13, 100%, $E$13)</f>
        <v>8.2904999999999998</v>
      </c>
      <c r="E592" s="61">
        <f>9.58 * CHOOSE(CONTROL!$C$19, $C$13, 100%, $E$13)</f>
        <v>9.58</v>
      </c>
      <c r="F592" s="61">
        <f>9.58 * CHOOSE(CONTROL!$C$19, $C$13, 100%, $E$13)</f>
        <v>9.58</v>
      </c>
      <c r="G592" s="61">
        <f>9.5801 * CHOOSE(CONTROL!$C$19, $C$13, 100%, $E$13)</f>
        <v>9.5800999999999998</v>
      </c>
      <c r="H592" s="61">
        <f>13.7999* CHOOSE(CONTROL!$C$19, $C$13, 100%, $E$13)</f>
        <v>13.799899999999999</v>
      </c>
      <c r="I592" s="61">
        <f>13.8001 * CHOOSE(CONTROL!$C$19, $C$13, 100%, $E$13)</f>
        <v>13.8001</v>
      </c>
      <c r="J592" s="61">
        <f>9.58 * CHOOSE(CONTROL!$C$19, $C$13, 100%, $E$13)</f>
        <v>9.58</v>
      </c>
      <c r="K592" s="61">
        <f>9.5801 * CHOOSE(CONTROL!$C$19, $C$13, 100%, $E$13)</f>
        <v>9.5800999999999998</v>
      </c>
    </row>
    <row r="593" spans="1:11" ht="15">
      <c r="A593" s="13">
        <v>59902</v>
      </c>
      <c r="B593" s="60">
        <f>8.3341 * CHOOSE(CONTROL!$C$19, $C$13, 100%, $E$13)</f>
        <v>8.3340999999999994</v>
      </c>
      <c r="C593" s="60">
        <f>8.3341 * CHOOSE(CONTROL!$C$19, $C$13, 100%, $E$13)</f>
        <v>8.3340999999999994</v>
      </c>
      <c r="D593" s="60">
        <f>8.3492 * CHOOSE(CONTROL!$C$19, $C$13, 100%, $E$13)</f>
        <v>8.3491999999999997</v>
      </c>
      <c r="E593" s="61">
        <f>9.7145 * CHOOSE(CONTROL!$C$19, $C$13, 100%, $E$13)</f>
        <v>9.7144999999999992</v>
      </c>
      <c r="F593" s="61">
        <f>9.7145 * CHOOSE(CONTROL!$C$19, $C$13, 100%, $E$13)</f>
        <v>9.7144999999999992</v>
      </c>
      <c r="G593" s="61">
        <f>9.7147 * CHOOSE(CONTROL!$C$19, $C$13, 100%, $E$13)</f>
        <v>9.7147000000000006</v>
      </c>
      <c r="H593" s="61">
        <f>13.8123* CHOOSE(CONTROL!$C$19, $C$13, 100%, $E$13)</f>
        <v>13.8123</v>
      </c>
      <c r="I593" s="61">
        <f>13.8125 * CHOOSE(CONTROL!$C$19, $C$13, 100%, $E$13)</f>
        <v>13.8125</v>
      </c>
      <c r="J593" s="61">
        <f>9.7145 * CHOOSE(CONTROL!$C$19, $C$13, 100%, $E$13)</f>
        <v>9.7144999999999992</v>
      </c>
      <c r="K593" s="61">
        <f>9.7147 * CHOOSE(CONTROL!$C$19, $C$13, 100%, $E$13)</f>
        <v>9.7147000000000006</v>
      </c>
    </row>
    <row r="594" spans="1:11" ht="15">
      <c r="A594" s="13">
        <v>59933</v>
      </c>
      <c r="B594" s="60">
        <f>8.331 * CHOOSE(CONTROL!$C$19, $C$13, 100%, $E$13)</f>
        <v>8.3309999999999995</v>
      </c>
      <c r="C594" s="60">
        <f>8.331 * CHOOSE(CONTROL!$C$19, $C$13, 100%, $E$13)</f>
        <v>8.3309999999999995</v>
      </c>
      <c r="D594" s="60">
        <f>8.3462 * CHOOSE(CONTROL!$C$19, $C$13, 100%, $E$13)</f>
        <v>8.3461999999999996</v>
      </c>
      <c r="E594" s="61">
        <f>9.5585 * CHOOSE(CONTROL!$C$19, $C$13, 100%, $E$13)</f>
        <v>9.5585000000000004</v>
      </c>
      <c r="F594" s="61">
        <f>9.5585 * CHOOSE(CONTROL!$C$19, $C$13, 100%, $E$13)</f>
        <v>9.5585000000000004</v>
      </c>
      <c r="G594" s="61">
        <f>9.5587 * CHOOSE(CONTROL!$C$19, $C$13, 100%, $E$13)</f>
        <v>9.5587</v>
      </c>
      <c r="H594" s="61">
        <f>13.8411* CHOOSE(CONTROL!$C$19, $C$13, 100%, $E$13)</f>
        <v>13.841100000000001</v>
      </c>
      <c r="I594" s="61">
        <f>13.8412 * CHOOSE(CONTROL!$C$19, $C$13, 100%, $E$13)</f>
        <v>13.841200000000001</v>
      </c>
      <c r="J594" s="61">
        <f>9.5585 * CHOOSE(CONTROL!$C$19, $C$13, 100%, $E$13)</f>
        <v>9.5585000000000004</v>
      </c>
      <c r="K594" s="61">
        <f>9.5587 * CHOOSE(CONTROL!$C$19, $C$13, 100%, $E$13)</f>
        <v>9.5587</v>
      </c>
    </row>
    <row r="595" spans="1:11" ht="15">
      <c r="A595" s="13">
        <v>59962</v>
      </c>
      <c r="B595" s="60">
        <f>8.328 * CHOOSE(CONTROL!$C$19, $C$13, 100%, $E$13)</f>
        <v>8.3279999999999994</v>
      </c>
      <c r="C595" s="60">
        <f>8.328 * CHOOSE(CONTROL!$C$19, $C$13, 100%, $E$13)</f>
        <v>8.3279999999999994</v>
      </c>
      <c r="D595" s="60">
        <f>8.3432 * CHOOSE(CONTROL!$C$19, $C$13, 100%, $E$13)</f>
        <v>8.3431999999999995</v>
      </c>
      <c r="E595" s="61">
        <f>9.6777 * CHOOSE(CONTROL!$C$19, $C$13, 100%, $E$13)</f>
        <v>9.6776999999999997</v>
      </c>
      <c r="F595" s="61">
        <f>9.6777 * CHOOSE(CONTROL!$C$19, $C$13, 100%, $E$13)</f>
        <v>9.6776999999999997</v>
      </c>
      <c r="G595" s="61">
        <f>9.6779 * CHOOSE(CONTROL!$C$19, $C$13, 100%, $E$13)</f>
        <v>9.6778999999999993</v>
      </c>
      <c r="H595" s="61">
        <f>13.8699* CHOOSE(CONTROL!$C$19, $C$13, 100%, $E$13)</f>
        <v>13.869899999999999</v>
      </c>
      <c r="I595" s="61">
        <f>13.8701 * CHOOSE(CONTROL!$C$19, $C$13, 100%, $E$13)</f>
        <v>13.870100000000001</v>
      </c>
      <c r="J595" s="61">
        <f>9.6777 * CHOOSE(CONTROL!$C$19, $C$13, 100%, $E$13)</f>
        <v>9.6776999999999997</v>
      </c>
      <c r="K595" s="61">
        <f>9.6779 * CHOOSE(CONTROL!$C$19, $C$13, 100%, $E$13)</f>
        <v>9.6778999999999993</v>
      </c>
    </row>
    <row r="596" spans="1:11" ht="15">
      <c r="A596" s="13">
        <v>59993</v>
      </c>
      <c r="B596" s="60">
        <f>8.3299 * CHOOSE(CONTROL!$C$19, $C$13, 100%, $E$13)</f>
        <v>8.3299000000000003</v>
      </c>
      <c r="C596" s="60">
        <f>8.3299 * CHOOSE(CONTROL!$C$19, $C$13, 100%, $E$13)</f>
        <v>8.3299000000000003</v>
      </c>
      <c r="D596" s="60">
        <f>8.3451 * CHOOSE(CONTROL!$C$19, $C$13, 100%, $E$13)</f>
        <v>8.3451000000000004</v>
      </c>
      <c r="E596" s="61">
        <f>9.8037 * CHOOSE(CONTROL!$C$19, $C$13, 100%, $E$13)</f>
        <v>9.8036999999999992</v>
      </c>
      <c r="F596" s="61">
        <f>9.8037 * CHOOSE(CONTROL!$C$19, $C$13, 100%, $E$13)</f>
        <v>9.8036999999999992</v>
      </c>
      <c r="G596" s="61">
        <f>9.8039 * CHOOSE(CONTROL!$C$19, $C$13, 100%, $E$13)</f>
        <v>9.8039000000000005</v>
      </c>
      <c r="H596" s="61">
        <f>13.8988* CHOOSE(CONTROL!$C$19, $C$13, 100%, $E$13)</f>
        <v>13.8988</v>
      </c>
      <c r="I596" s="61">
        <f>13.899 * CHOOSE(CONTROL!$C$19, $C$13, 100%, $E$13)</f>
        <v>13.898999999999999</v>
      </c>
      <c r="J596" s="61">
        <f>9.8037 * CHOOSE(CONTROL!$C$19, $C$13, 100%, $E$13)</f>
        <v>9.8036999999999992</v>
      </c>
      <c r="K596" s="61">
        <f>9.8039 * CHOOSE(CONTROL!$C$19, $C$13, 100%, $E$13)</f>
        <v>9.8039000000000005</v>
      </c>
    </row>
    <row r="597" spans="1:11" ht="15">
      <c r="A597" s="13">
        <v>60023</v>
      </c>
      <c r="B597" s="60">
        <f>8.3299 * CHOOSE(CONTROL!$C$19, $C$13, 100%, $E$13)</f>
        <v>8.3299000000000003</v>
      </c>
      <c r="C597" s="60">
        <f>8.3299 * CHOOSE(CONTROL!$C$19, $C$13, 100%, $E$13)</f>
        <v>8.3299000000000003</v>
      </c>
      <c r="D597" s="60">
        <f>8.3603 * CHOOSE(CONTROL!$C$19, $C$13, 100%, $E$13)</f>
        <v>8.3603000000000005</v>
      </c>
      <c r="E597" s="61">
        <f>9.8525 * CHOOSE(CONTROL!$C$19, $C$13, 100%, $E$13)</f>
        <v>9.8524999999999991</v>
      </c>
      <c r="F597" s="61">
        <f>9.8525 * CHOOSE(CONTROL!$C$19, $C$13, 100%, $E$13)</f>
        <v>9.8524999999999991</v>
      </c>
      <c r="G597" s="61">
        <f>9.8544 * CHOOSE(CONTROL!$C$19, $C$13, 100%, $E$13)</f>
        <v>9.8544</v>
      </c>
      <c r="H597" s="61">
        <f>13.9277* CHOOSE(CONTROL!$C$19, $C$13, 100%, $E$13)</f>
        <v>13.9277</v>
      </c>
      <c r="I597" s="61">
        <f>13.9296 * CHOOSE(CONTROL!$C$19, $C$13, 100%, $E$13)</f>
        <v>13.929600000000001</v>
      </c>
      <c r="J597" s="61">
        <f>9.8525 * CHOOSE(CONTROL!$C$19, $C$13, 100%, $E$13)</f>
        <v>9.8524999999999991</v>
      </c>
      <c r="K597" s="61">
        <f>9.8544 * CHOOSE(CONTROL!$C$19, $C$13, 100%, $E$13)</f>
        <v>9.8544</v>
      </c>
    </row>
    <row r="598" spans="1:11" ht="15">
      <c r="A598" s="13">
        <v>60054</v>
      </c>
      <c r="B598" s="60">
        <f>8.336 * CHOOSE(CONTROL!$C$19, $C$13, 100%, $E$13)</f>
        <v>8.3360000000000003</v>
      </c>
      <c r="C598" s="60">
        <f>8.336 * CHOOSE(CONTROL!$C$19, $C$13, 100%, $E$13)</f>
        <v>8.3360000000000003</v>
      </c>
      <c r="D598" s="60">
        <f>8.3664 * CHOOSE(CONTROL!$C$19, $C$13, 100%, $E$13)</f>
        <v>8.3664000000000005</v>
      </c>
      <c r="E598" s="61">
        <f>9.8079 * CHOOSE(CONTROL!$C$19, $C$13, 100%, $E$13)</f>
        <v>9.8079000000000001</v>
      </c>
      <c r="F598" s="61">
        <f>9.8079 * CHOOSE(CONTROL!$C$19, $C$13, 100%, $E$13)</f>
        <v>9.8079000000000001</v>
      </c>
      <c r="G598" s="61">
        <f>9.8098 * CHOOSE(CONTROL!$C$19, $C$13, 100%, $E$13)</f>
        <v>9.8097999999999992</v>
      </c>
      <c r="H598" s="61">
        <f>13.9568* CHOOSE(CONTROL!$C$19, $C$13, 100%, $E$13)</f>
        <v>13.956799999999999</v>
      </c>
      <c r="I598" s="61">
        <f>13.9587 * CHOOSE(CONTROL!$C$19, $C$13, 100%, $E$13)</f>
        <v>13.9587</v>
      </c>
      <c r="J598" s="61">
        <f>9.8079 * CHOOSE(CONTROL!$C$19, $C$13, 100%, $E$13)</f>
        <v>9.8079000000000001</v>
      </c>
      <c r="K598" s="61">
        <f>9.8098 * CHOOSE(CONTROL!$C$19, $C$13, 100%, $E$13)</f>
        <v>9.8097999999999992</v>
      </c>
    </row>
    <row r="599" spans="1:11" ht="15">
      <c r="A599" s="13">
        <v>60084</v>
      </c>
      <c r="B599" s="60">
        <f>8.4566 * CHOOSE(CONTROL!$C$19, $C$13, 100%, $E$13)</f>
        <v>8.4565999999999999</v>
      </c>
      <c r="C599" s="60">
        <f>8.4566 * CHOOSE(CONTROL!$C$19, $C$13, 100%, $E$13)</f>
        <v>8.4565999999999999</v>
      </c>
      <c r="D599" s="60">
        <f>8.487 * CHOOSE(CONTROL!$C$19, $C$13, 100%, $E$13)</f>
        <v>8.4870000000000001</v>
      </c>
      <c r="E599" s="61">
        <f>9.9901 * CHOOSE(CONTROL!$C$19, $C$13, 100%, $E$13)</f>
        <v>9.9901</v>
      </c>
      <c r="F599" s="61">
        <f>9.9901 * CHOOSE(CONTROL!$C$19, $C$13, 100%, $E$13)</f>
        <v>9.9901</v>
      </c>
      <c r="G599" s="61">
        <f>9.992 * CHOOSE(CONTROL!$C$19, $C$13, 100%, $E$13)</f>
        <v>9.9920000000000009</v>
      </c>
      <c r="H599" s="61">
        <f>13.9858* CHOOSE(CONTROL!$C$19, $C$13, 100%, $E$13)</f>
        <v>13.985799999999999</v>
      </c>
      <c r="I599" s="61">
        <f>13.9877 * CHOOSE(CONTROL!$C$19, $C$13, 100%, $E$13)</f>
        <v>13.9877</v>
      </c>
      <c r="J599" s="61">
        <f>9.9901 * CHOOSE(CONTROL!$C$19, $C$13, 100%, $E$13)</f>
        <v>9.9901</v>
      </c>
      <c r="K599" s="61">
        <f>9.992 * CHOOSE(CONTROL!$C$19, $C$13, 100%, $E$13)</f>
        <v>9.9920000000000009</v>
      </c>
    </row>
    <row r="600" spans="1:11" ht="15">
      <c r="A600" s="13">
        <v>60115</v>
      </c>
      <c r="B600" s="60">
        <f>8.4633 * CHOOSE(CONTROL!$C$19, $C$13, 100%, $E$13)</f>
        <v>8.4633000000000003</v>
      </c>
      <c r="C600" s="60">
        <f>8.4633 * CHOOSE(CONTROL!$C$19, $C$13, 100%, $E$13)</f>
        <v>8.4633000000000003</v>
      </c>
      <c r="D600" s="60">
        <f>8.4937 * CHOOSE(CONTROL!$C$19, $C$13, 100%, $E$13)</f>
        <v>8.4937000000000005</v>
      </c>
      <c r="E600" s="61">
        <f>9.8482 * CHOOSE(CONTROL!$C$19, $C$13, 100%, $E$13)</f>
        <v>9.8482000000000003</v>
      </c>
      <c r="F600" s="61">
        <f>9.8482 * CHOOSE(CONTROL!$C$19, $C$13, 100%, $E$13)</f>
        <v>9.8482000000000003</v>
      </c>
      <c r="G600" s="61">
        <f>9.8501 * CHOOSE(CONTROL!$C$19, $C$13, 100%, $E$13)</f>
        <v>9.8500999999999994</v>
      </c>
      <c r="H600" s="61">
        <f>14.015* CHOOSE(CONTROL!$C$19, $C$13, 100%, $E$13)</f>
        <v>14.015000000000001</v>
      </c>
      <c r="I600" s="61">
        <f>14.0169 * CHOOSE(CONTROL!$C$19, $C$13, 100%, $E$13)</f>
        <v>14.0169</v>
      </c>
      <c r="J600" s="61">
        <f>9.8482 * CHOOSE(CONTROL!$C$19, $C$13, 100%, $E$13)</f>
        <v>9.8482000000000003</v>
      </c>
      <c r="K600" s="61">
        <f>9.8501 * CHOOSE(CONTROL!$C$19, $C$13, 100%, $E$13)</f>
        <v>9.8500999999999994</v>
      </c>
    </row>
    <row r="601" spans="1:11" ht="15">
      <c r="A601" s="13">
        <v>60146</v>
      </c>
      <c r="B601" s="60">
        <f>8.4603 * CHOOSE(CONTROL!$C$19, $C$13, 100%, $E$13)</f>
        <v>8.4603000000000002</v>
      </c>
      <c r="C601" s="60">
        <f>8.4603 * CHOOSE(CONTROL!$C$19, $C$13, 100%, $E$13)</f>
        <v>8.4603000000000002</v>
      </c>
      <c r="D601" s="60">
        <f>8.4906 * CHOOSE(CONTROL!$C$19, $C$13, 100%, $E$13)</f>
        <v>8.4906000000000006</v>
      </c>
      <c r="E601" s="61">
        <f>9.8298 * CHOOSE(CONTROL!$C$19, $C$13, 100%, $E$13)</f>
        <v>9.8298000000000005</v>
      </c>
      <c r="F601" s="61">
        <f>9.8298 * CHOOSE(CONTROL!$C$19, $C$13, 100%, $E$13)</f>
        <v>9.8298000000000005</v>
      </c>
      <c r="G601" s="61">
        <f>9.8317 * CHOOSE(CONTROL!$C$19, $C$13, 100%, $E$13)</f>
        <v>9.8316999999999997</v>
      </c>
      <c r="H601" s="61">
        <f>14.0442* CHOOSE(CONTROL!$C$19, $C$13, 100%, $E$13)</f>
        <v>14.0442</v>
      </c>
      <c r="I601" s="61">
        <f>14.0461 * CHOOSE(CONTROL!$C$19, $C$13, 100%, $E$13)</f>
        <v>14.046099999999999</v>
      </c>
      <c r="J601" s="61">
        <f>9.8298 * CHOOSE(CONTROL!$C$19, $C$13, 100%, $E$13)</f>
        <v>9.8298000000000005</v>
      </c>
      <c r="K601" s="61">
        <f>9.8317 * CHOOSE(CONTROL!$C$19, $C$13, 100%, $E$13)</f>
        <v>9.8316999999999997</v>
      </c>
    </row>
    <row r="602" spans="1:11" ht="15">
      <c r="A602" s="13">
        <v>60176</v>
      </c>
      <c r="B602" s="60">
        <f>8.4723 * CHOOSE(CONTROL!$C$19, $C$13, 100%, $E$13)</f>
        <v>8.4723000000000006</v>
      </c>
      <c r="C602" s="60">
        <f>8.4723 * CHOOSE(CONTROL!$C$19, $C$13, 100%, $E$13)</f>
        <v>8.4723000000000006</v>
      </c>
      <c r="D602" s="60">
        <f>8.4875 * CHOOSE(CONTROL!$C$19, $C$13, 100%, $E$13)</f>
        <v>8.4875000000000007</v>
      </c>
      <c r="E602" s="61">
        <f>9.8815 * CHOOSE(CONTROL!$C$19, $C$13, 100%, $E$13)</f>
        <v>9.8815000000000008</v>
      </c>
      <c r="F602" s="61">
        <f>9.8815 * CHOOSE(CONTROL!$C$19, $C$13, 100%, $E$13)</f>
        <v>9.8815000000000008</v>
      </c>
      <c r="G602" s="61">
        <f>9.8817 * CHOOSE(CONTROL!$C$19, $C$13, 100%, $E$13)</f>
        <v>9.8817000000000004</v>
      </c>
      <c r="H602" s="61">
        <f>14.0734* CHOOSE(CONTROL!$C$19, $C$13, 100%, $E$13)</f>
        <v>14.073399999999999</v>
      </c>
      <c r="I602" s="61">
        <f>14.0736 * CHOOSE(CONTROL!$C$19, $C$13, 100%, $E$13)</f>
        <v>14.073600000000001</v>
      </c>
      <c r="J602" s="61">
        <f>9.8815 * CHOOSE(CONTROL!$C$19, $C$13, 100%, $E$13)</f>
        <v>9.8815000000000008</v>
      </c>
      <c r="K602" s="61">
        <f>9.8817 * CHOOSE(CONTROL!$C$19, $C$13, 100%, $E$13)</f>
        <v>9.8817000000000004</v>
      </c>
    </row>
    <row r="603" spans="1:11" ht="15">
      <c r="A603" s="13">
        <v>60207</v>
      </c>
      <c r="B603" s="60">
        <f>8.4753 * CHOOSE(CONTROL!$C$19, $C$13, 100%, $E$13)</f>
        <v>8.4753000000000007</v>
      </c>
      <c r="C603" s="60">
        <f>8.4753 * CHOOSE(CONTROL!$C$19, $C$13, 100%, $E$13)</f>
        <v>8.4753000000000007</v>
      </c>
      <c r="D603" s="60">
        <f>8.4905 * CHOOSE(CONTROL!$C$19, $C$13, 100%, $E$13)</f>
        <v>8.4905000000000008</v>
      </c>
      <c r="E603" s="61">
        <f>9.9162 * CHOOSE(CONTROL!$C$19, $C$13, 100%, $E$13)</f>
        <v>9.9161999999999999</v>
      </c>
      <c r="F603" s="61">
        <f>9.9162 * CHOOSE(CONTROL!$C$19, $C$13, 100%, $E$13)</f>
        <v>9.9161999999999999</v>
      </c>
      <c r="G603" s="61">
        <f>9.9164 * CHOOSE(CONTROL!$C$19, $C$13, 100%, $E$13)</f>
        <v>9.9163999999999994</v>
      </c>
      <c r="H603" s="61">
        <f>14.1027* CHOOSE(CONTROL!$C$19, $C$13, 100%, $E$13)</f>
        <v>14.1027</v>
      </c>
      <c r="I603" s="61">
        <f>14.1029 * CHOOSE(CONTROL!$C$19, $C$13, 100%, $E$13)</f>
        <v>14.1029</v>
      </c>
      <c r="J603" s="61">
        <f>9.9162 * CHOOSE(CONTROL!$C$19, $C$13, 100%, $E$13)</f>
        <v>9.9161999999999999</v>
      </c>
      <c r="K603" s="61">
        <f>9.9164 * CHOOSE(CONTROL!$C$19, $C$13, 100%, $E$13)</f>
        <v>9.9163999999999994</v>
      </c>
    </row>
    <row r="604" spans="1:11" ht="15">
      <c r="A604" s="13">
        <v>60237</v>
      </c>
      <c r="B604" s="60">
        <f>8.4753 * CHOOSE(CONTROL!$C$19, $C$13, 100%, $E$13)</f>
        <v>8.4753000000000007</v>
      </c>
      <c r="C604" s="60">
        <f>8.4753 * CHOOSE(CONTROL!$C$19, $C$13, 100%, $E$13)</f>
        <v>8.4753000000000007</v>
      </c>
      <c r="D604" s="60">
        <f>8.4905 * CHOOSE(CONTROL!$C$19, $C$13, 100%, $E$13)</f>
        <v>8.4905000000000008</v>
      </c>
      <c r="E604" s="61">
        <f>9.8348 * CHOOSE(CONTROL!$C$19, $C$13, 100%, $E$13)</f>
        <v>9.8347999999999995</v>
      </c>
      <c r="F604" s="61">
        <f>9.8348 * CHOOSE(CONTROL!$C$19, $C$13, 100%, $E$13)</f>
        <v>9.8347999999999995</v>
      </c>
      <c r="G604" s="61">
        <f>9.835 * CHOOSE(CONTROL!$C$19, $C$13, 100%, $E$13)</f>
        <v>9.8350000000000009</v>
      </c>
      <c r="H604" s="61">
        <f>14.1321* CHOOSE(CONTROL!$C$19, $C$13, 100%, $E$13)</f>
        <v>14.132099999999999</v>
      </c>
      <c r="I604" s="61">
        <f>14.1323 * CHOOSE(CONTROL!$C$19, $C$13, 100%, $E$13)</f>
        <v>14.132300000000001</v>
      </c>
      <c r="J604" s="61">
        <f>9.8348 * CHOOSE(CONTROL!$C$19, $C$13, 100%, $E$13)</f>
        <v>9.8347999999999995</v>
      </c>
      <c r="K604" s="61">
        <f>9.835 * CHOOSE(CONTROL!$C$19, $C$13, 100%, $E$13)</f>
        <v>9.8350000000000009</v>
      </c>
    </row>
    <row r="605" spans="1:11" ht="15">
      <c r="A605" s="13">
        <v>60268</v>
      </c>
      <c r="B605" s="60">
        <f>8.5307 * CHOOSE(CONTROL!$C$19, $C$13, 100%, $E$13)</f>
        <v>8.5306999999999995</v>
      </c>
      <c r="C605" s="60">
        <f>8.5307 * CHOOSE(CONTROL!$C$19, $C$13, 100%, $E$13)</f>
        <v>8.5306999999999995</v>
      </c>
      <c r="D605" s="60">
        <f>8.5459 * CHOOSE(CONTROL!$C$19, $C$13, 100%, $E$13)</f>
        <v>8.5458999999999996</v>
      </c>
      <c r="E605" s="61">
        <f>9.9663 * CHOOSE(CONTROL!$C$19, $C$13, 100%, $E$13)</f>
        <v>9.9663000000000004</v>
      </c>
      <c r="F605" s="61">
        <f>9.9663 * CHOOSE(CONTROL!$C$19, $C$13, 100%, $E$13)</f>
        <v>9.9663000000000004</v>
      </c>
      <c r="G605" s="61">
        <f>9.9665 * CHOOSE(CONTROL!$C$19, $C$13, 100%, $E$13)</f>
        <v>9.9664999999999999</v>
      </c>
      <c r="H605" s="61">
        <f>14.1369* CHOOSE(CONTROL!$C$19, $C$13, 100%, $E$13)</f>
        <v>14.136900000000001</v>
      </c>
      <c r="I605" s="61">
        <f>14.1371 * CHOOSE(CONTROL!$C$19, $C$13, 100%, $E$13)</f>
        <v>14.1371</v>
      </c>
      <c r="J605" s="61">
        <f>9.9663 * CHOOSE(CONTROL!$C$19, $C$13, 100%, $E$13)</f>
        <v>9.9663000000000004</v>
      </c>
      <c r="K605" s="61">
        <f>9.9665 * CHOOSE(CONTROL!$C$19, $C$13, 100%, $E$13)</f>
        <v>9.9664999999999999</v>
      </c>
    </row>
    <row r="606" spans="1:11" ht="15">
      <c r="A606" s="13">
        <v>60299</v>
      </c>
      <c r="B606" s="60">
        <f>8.5276 * CHOOSE(CONTROL!$C$19, $C$13, 100%, $E$13)</f>
        <v>8.5275999999999996</v>
      </c>
      <c r="C606" s="60">
        <f>8.5276 * CHOOSE(CONTROL!$C$19, $C$13, 100%, $E$13)</f>
        <v>8.5275999999999996</v>
      </c>
      <c r="D606" s="60">
        <f>8.5428 * CHOOSE(CONTROL!$C$19, $C$13, 100%, $E$13)</f>
        <v>8.5427999999999997</v>
      </c>
      <c r="E606" s="61">
        <f>9.8059 * CHOOSE(CONTROL!$C$19, $C$13, 100%, $E$13)</f>
        <v>9.8058999999999994</v>
      </c>
      <c r="F606" s="61">
        <f>9.8059 * CHOOSE(CONTROL!$C$19, $C$13, 100%, $E$13)</f>
        <v>9.8058999999999994</v>
      </c>
      <c r="G606" s="61">
        <f>9.8061 * CHOOSE(CONTROL!$C$19, $C$13, 100%, $E$13)</f>
        <v>9.8061000000000007</v>
      </c>
      <c r="H606" s="61">
        <f>14.1664* CHOOSE(CONTROL!$C$19, $C$13, 100%, $E$13)</f>
        <v>14.166399999999999</v>
      </c>
      <c r="I606" s="61">
        <f>14.1666 * CHOOSE(CONTROL!$C$19, $C$13, 100%, $E$13)</f>
        <v>14.166600000000001</v>
      </c>
      <c r="J606" s="61">
        <f>9.8059 * CHOOSE(CONTROL!$C$19, $C$13, 100%, $E$13)</f>
        <v>9.8058999999999994</v>
      </c>
      <c r="K606" s="61">
        <f>9.8061 * CHOOSE(CONTROL!$C$19, $C$13, 100%, $E$13)</f>
        <v>9.8061000000000007</v>
      </c>
    </row>
    <row r="607" spans="1:11" ht="15">
      <c r="A607" s="13">
        <v>60327</v>
      </c>
      <c r="B607" s="60">
        <f>8.5246 * CHOOSE(CONTROL!$C$19, $C$13, 100%, $E$13)</f>
        <v>8.5245999999999995</v>
      </c>
      <c r="C607" s="60">
        <f>8.5246 * CHOOSE(CONTROL!$C$19, $C$13, 100%, $E$13)</f>
        <v>8.5245999999999995</v>
      </c>
      <c r="D607" s="60">
        <f>8.5398 * CHOOSE(CONTROL!$C$19, $C$13, 100%, $E$13)</f>
        <v>8.5397999999999996</v>
      </c>
      <c r="E607" s="61">
        <f>9.9286 * CHOOSE(CONTROL!$C$19, $C$13, 100%, $E$13)</f>
        <v>9.9285999999999994</v>
      </c>
      <c r="F607" s="61">
        <f>9.9286 * CHOOSE(CONTROL!$C$19, $C$13, 100%, $E$13)</f>
        <v>9.9285999999999994</v>
      </c>
      <c r="G607" s="61">
        <f>9.9288 * CHOOSE(CONTROL!$C$19, $C$13, 100%, $E$13)</f>
        <v>9.9288000000000007</v>
      </c>
      <c r="H607" s="61">
        <f>14.1959* CHOOSE(CONTROL!$C$19, $C$13, 100%, $E$13)</f>
        <v>14.1959</v>
      </c>
      <c r="I607" s="61">
        <f>14.1961 * CHOOSE(CONTROL!$C$19, $C$13, 100%, $E$13)</f>
        <v>14.196099999999999</v>
      </c>
      <c r="J607" s="61">
        <f>9.9286 * CHOOSE(CONTROL!$C$19, $C$13, 100%, $E$13)</f>
        <v>9.9285999999999994</v>
      </c>
      <c r="K607" s="61">
        <f>9.9288 * CHOOSE(CONTROL!$C$19, $C$13, 100%, $E$13)</f>
        <v>9.9288000000000007</v>
      </c>
    </row>
    <row r="608" spans="1:11" ht="15">
      <c r="A608" s="13">
        <v>60358</v>
      </c>
      <c r="B608" s="60">
        <f>8.5267 * CHOOSE(CONTROL!$C$19, $C$13, 100%, $E$13)</f>
        <v>8.5266999999999999</v>
      </c>
      <c r="C608" s="60">
        <f>8.5267 * CHOOSE(CONTROL!$C$19, $C$13, 100%, $E$13)</f>
        <v>8.5266999999999999</v>
      </c>
      <c r="D608" s="60">
        <f>8.5419 * CHOOSE(CONTROL!$C$19, $C$13, 100%, $E$13)</f>
        <v>8.5419</v>
      </c>
      <c r="E608" s="61">
        <f>10.0584 * CHOOSE(CONTROL!$C$19, $C$13, 100%, $E$13)</f>
        <v>10.058400000000001</v>
      </c>
      <c r="F608" s="61">
        <f>10.0584 * CHOOSE(CONTROL!$C$19, $C$13, 100%, $E$13)</f>
        <v>10.058400000000001</v>
      </c>
      <c r="G608" s="61">
        <f>10.0585 * CHOOSE(CONTROL!$C$19, $C$13, 100%, $E$13)</f>
        <v>10.0585</v>
      </c>
      <c r="H608" s="61">
        <f>14.2255* CHOOSE(CONTROL!$C$19, $C$13, 100%, $E$13)</f>
        <v>14.2255</v>
      </c>
      <c r="I608" s="61">
        <f>14.2257 * CHOOSE(CONTROL!$C$19, $C$13, 100%, $E$13)</f>
        <v>14.2257</v>
      </c>
      <c r="J608" s="61">
        <f>10.0584 * CHOOSE(CONTROL!$C$19, $C$13, 100%, $E$13)</f>
        <v>10.058400000000001</v>
      </c>
      <c r="K608" s="61">
        <f>10.0585 * CHOOSE(CONTROL!$C$19, $C$13, 100%, $E$13)</f>
        <v>10.0585</v>
      </c>
    </row>
    <row r="609" spans="1:11" ht="15">
      <c r="A609" s="13">
        <v>60388</v>
      </c>
      <c r="B609" s="60">
        <f>8.5267 * CHOOSE(CONTROL!$C$19, $C$13, 100%, $E$13)</f>
        <v>8.5266999999999999</v>
      </c>
      <c r="C609" s="60">
        <f>8.5267 * CHOOSE(CONTROL!$C$19, $C$13, 100%, $E$13)</f>
        <v>8.5266999999999999</v>
      </c>
      <c r="D609" s="60">
        <f>8.5571 * CHOOSE(CONTROL!$C$19, $C$13, 100%, $E$13)</f>
        <v>8.5571000000000002</v>
      </c>
      <c r="E609" s="61">
        <f>10.1086 * CHOOSE(CONTROL!$C$19, $C$13, 100%, $E$13)</f>
        <v>10.108599999999999</v>
      </c>
      <c r="F609" s="61">
        <f>10.1086 * CHOOSE(CONTROL!$C$19, $C$13, 100%, $E$13)</f>
        <v>10.108599999999999</v>
      </c>
      <c r="G609" s="61">
        <f>10.1105 * CHOOSE(CONTROL!$C$19, $C$13, 100%, $E$13)</f>
        <v>10.1105</v>
      </c>
      <c r="H609" s="61">
        <f>14.2551* CHOOSE(CONTROL!$C$19, $C$13, 100%, $E$13)</f>
        <v>14.255100000000001</v>
      </c>
      <c r="I609" s="61">
        <f>14.257 * CHOOSE(CONTROL!$C$19, $C$13, 100%, $E$13)</f>
        <v>14.257</v>
      </c>
      <c r="J609" s="61">
        <f>10.1086 * CHOOSE(CONTROL!$C$19, $C$13, 100%, $E$13)</f>
        <v>10.108599999999999</v>
      </c>
      <c r="K609" s="61">
        <f>10.1105 * CHOOSE(CONTROL!$C$19, $C$13, 100%, $E$13)</f>
        <v>10.1105</v>
      </c>
    </row>
    <row r="610" spans="1:11" ht="15">
      <c r="A610" s="13">
        <v>60419</v>
      </c>
      <c r="B610" s="60">
        <f>8.5328 * CHOOSE(CONTROL!$C$19, $C$13, 100%, $E$13)</f>
        <v>8.5327999999999999</v>
      </c>
      <c r="C610" s="60">
        <f>8.5328 * CHOOSE(CONTROL!$C$19, $C$13, 100%, $E$13)</f>
        <v>8.5327999999999999</v>
      </c>
      <c r="D610" s="60">
        <f>8.5632 * CHOOSE(CONTROL!$C$19, $C$13, 100%, $E$13)</f>
        <v>8.5632000000000001</v>
      </c>
      <c r="E610" s="61">
        <f>10.0626 * CHOOSE(CONTROL!$C$19, $C$13, 100%, $E$13)</f>
        <v>10.0626</v>
      </c>
      <c r="F610" s="61">
        <f>10.0626 * CHOOSE(CONTROL!$C$19, $C$13, 100%, $E$13)</f>
        <v>10.0626</v>
      </c>
      <c r="G610" s="61">
        <f>10.0645 * CHOOSE(CONTROL!$C$19, $C$13, 100%, $E$13)</f>
        <v>10.064500000000001</v>
      </c>
      <c r="H610" s="61">
        <f>14.2848* CHOOSE(CONTROL!$C$19, $C$13, 100%, $E$13)</f>
        <v>14.284800000000001</v>
      </c>
      <c r="I610" s="61">
        <f>14.2867 * CHOOSE(CONTROL!$C$19, $C$13, 100%, $E$13)</f>
        <v>14.2867</v>
      </c>
      <c r="J610" s="61">
        <f>10.0626 * CHOOSE(CONTROL!$C$19, $C$13, 100%, $E$13)</f>
        <v>10.0626</v>
      </c>
      <c r="K610" s="61">
        <f>10.0645 * CHOOSE(CONTROL!$C$19, $C$13, 100%, $E$13)</f>
        <v>10.064500000000001</v>
      </c>
    </row>
    <row r="611" spans="1:11" ht="15">
      <c r="A611" s="13">
        <v>60449</v>
      </c>
      <c r="B611" s="60">
        <f>8.6559 * CHOOSE(CONTROL!$C$19, $C$13, 100%, $E$13)</f>
        <v>8.6559000000000008</v>
      </c>
      <c r="C611" s="60">
        <f>8.6559 * CHOOSE(CONTROL!$C$19, $C$13, 100%, $E$13)</f>
        <v>8.6559000000000008</v>
      </c>
      <c r="D611" s="60">
        <f>8.6863 * CHOOSE(CONTROL!$C$19, $C$13, 100%, $E$13)</f>
        <v>8.6862999999999992</v>
      </c>
      <c r="E611" s="61">
        <f>10.2492 * CHOOSE(CONTROL!$C$19, $C$13, 100%, $E$13)</f>
        <v>10.2492</v>
      </c>
      <c r="F611" s="61">
        <f>10.2492 * CHOOSE(CONTROL!$C$19, $C$13, 100%, $E$13)</f>
        <v>10.2492</v>
      </c>
      <c r="G611" s="61">
        <f>10.2511 * CHOOSE(CONTROL!$C$19, $C$13, 100%, $E$13)</f>
        <v>10.251099999999999</v>
      </c>
      <c r="H611" s="61">
        <f>14.3146* CHOOSE(CONTROL!$C$19, $C$13, 100%, $E$13)</f>
        <v>14.3146</v>
      </c>
      <c r="I611" s="61">
        <f>14.3165 * CHOOSE(CONTROL!$C$19, $C$13, 100%, $E$13)</f>
        <v>14.3165</v>
      </c>
      <c r="J611" s="61">
        <f>10.2492 * CHOOSE(CONTROL!$C$19, $C$13, 100%, $E$13)</f>
        <v>10.2492</v>
      </c>
      <c r="K611" s="61">
        <f>10.2511 * CHOOSE(CONTROL!$C$19, $C$13, 100%, $E$13)</f>
        <v>10.251099999999999</v>
      </c>
    </row>
    <row r="612" spans="1:11" ht="15">
      <c r="A612" s="13">
        <v>60480</v>
      </c>
      <c r="B612" s="60">
        <f>8.6626 * CHOOSE(CONTROL!$C$19, $C$13, 100%, $E$13)</f>
        <v>8.6625999999999994</v>
      </c>
      <c r="C612" s="60">
        <f>8.6626 * CHOOSE(CONTROL!$C$19, $C$13, 100%, $E$13)</f>
        <v>8.6625999999999994</v>
      </c>
      <c r="D612" s="60">
        <f>8.693 * CHOOSE(CONTROL!$C$19, $C$13, 100%, $E$13)</f>
        <v>8.6929999999999996</v>
      </c>
      <c r="E612" s="61">
        <f>10.1031 * CHOOSE(CONTROL!$C$19, $C$13, 100%, $E$13)</f>
        <v>10.1031</v>
      </c>
      <c r="F612" s="61">
        <f>10.1031 * CHOOSE(CONTROL!$C$19, $C$13, 100%, $E$13)</f>
        <v>10.1031</v>
      </c>
      <c r="G612" s="61">
        <f>10.105 * CHOOSE(CONTROL!$C$19, $C$13, 100%, $E$13)</f>
        <v>10.105</v>
      </c>
      <c r="H612" s="61">
        <f>14.3444* CHOOSE(CONTROL!$C$19, $C$13, 100%, $E$13)</f>
        <v>14.3444</v>
      </c>
      <c r="I612" s="61">
        <f>14.3463 * CHOOSE(CONTROL!$C$19, $C$13, 100%, $E$13)</f>
        <v>14.346299999999999</v>
      </c>
      <c r="J612" s="61">
        <f>10.1031 * CHOOSE(CONTROL!$C$19, $C$13, 100%, $E$13)</f>
        <v>10.1031</v>
      </c>
      <c r="K612" s="61">
        <f>10.105 * CHOOSE(CONTROL!$C$19, $C$13, 100%, $E$13)</f>
        <v>10.105</v>
      </c>
    </row>
    <row r="613" spans="1:11" ht="15">
      <c r="A613" s="13">
        <v>60511</v>
      </c>
      <c r="B613" s="60">
        <f>8.6596 * CHOOSE(CONTROL!$C$19, $C$13, 100%, $E$13)</f>
        <v>8.6595999999999993</v>
      </c>
      <c r="C613" s="60">
        <f>8.6596 * CHOOSE(CONTROL!$C$19, $C$13, 100%, $E$13)</f>
        <v>8.6595999999999993</v>
      </c>
      <c r="D613" s="60">
        <f>8.69 * CHOOSE(CONTROL!$C$19, $C$13, 100%, $E$13)</f>
        <v>8.69</v>
      </c>
      <c r="E613" s="61">
        <f>10.0842 * CHOOSE(CONTROL!$C$19, $C$13, 100%, $E$13)</f>
        <v>10.084199999999999</v>
      </c>
      <c r="F613" s="61">
        <f>10.0842 * CHOOSE(CONTROL!$C$19, $C$13, 100%, $E$13)</f>
        <v>10.084199999999999</v>
      </c>
      <c r="G613" s="61">
        <f>10.0861 * CHOOSE(CONTROL!$C$19, $C$13, 100%, $E$13)</f>
        <v>10.0861</v>
      </c>
      <c r="H613" s="61">
        <f>14.3743* CHOOSE(CONTROL!$C$19, $C$13, 100%, $E$13)</f>
        <v>14.3743</v>
      </c>
      <c r="I613" s="61">
        <f>14.3762 * CHOOSE(CONTROL!$C$19, $C$13, 100%, $E$13)</f>
        <v>14.376200000000001</v>
      </c>
      <c r="J613" s="61">
        <f>10.0842 * CHOOSE(CONTROL!$C$19, $C$13, 100%, $E$13)</f>
        <v>10.084199999999999</v>
      </c>
      <c r="K613" s="61">
        <f>10.0861 * CHOOSE(CONTROL!$C$19, $C$13, 100%, $E$13)</f>
        <v>10.0861</v>
      </c>
    </row>
    <row r="614" spans="1:11" ht="15">
      <c r="A614" s="13">
        <v>60541</v>
      </c>
      <c r="B614" s="60">
        <f>8.6724 * CHOOSE(CONTROL!$C$19, $C$13, 100%, $E$13)</f>
        <v>8.6723999999999997</v>
      </c>
      <c r="C614" s="60">
        <f>8.6724 * CHOOSE(CONTROL!$C$19, $C$13, 100%, $E$13)</f>
        <v>8.6723999999999997</v>
      </c>
      <c r="D614" s="60">
        <f>8.6876 * CHOOSE(CONTROL!$C$19, $C$13, 100%, $E$13)</f>
        <v>8.6875999999999998</v>
      </c>
      <c r="E614" s="61">
        <f>10.1378 * CHOOSE(CONTROL!$C$19, $C$13, 100%, $E$13)</f>
        <v>10.1378</v>
      </c>
      <c r="F614" s="61">
        <f>10.1378 * CHOOSE(CONTROL!$C$19, $C$13, 100%, $E$13)</f>
        <v>10.1378</v>
      </c>
      <c r="G614" s="61">
        <f>10.138 * CHOOSE(CONTROL!$C$19, $C$13, 100%, $E$13)</f>
        <v>10.138</v>
      </c>
      <c r="H614" s="61">
        <f>14.4042* CHOOSE(CONTROL!$C$19, $C$13, 100%, $E$13)</f>
        <v>14.404199999999999</v>
      </c>
      <c r="I614" s="61">
        <f>14.4044 * CHOOSE(CONTROL!$C$19, $C$13, 100%, $E$13)</f>
        <v>14.404400000000001</v>
      </c>
      <c r="J614" s="61">
        <f>10.1378 * CHOOSE(CONTROL!$C$19, $C$13, 100%, $E$13)</f>
        <v>10.1378</v>
      </c>
      <c r="K614" s="61">
        <f>10.138 * CHOOSE(CONTROL!$C$19, $C$13, 100%, $E$13)</f>
        <v>10.138</v>
      </c>
    </row>
    <row r="615" spans="1:11" ht="15">
      <c r="A615" s="13">
        <v>60572</v>
      </c>
      <c r="B615" s="60">
        <f>8.6754 * CHOOSE(CONTROL!$C$19, $C$13, 100%, $E$13)</f>
        <v>8.6753999999999998</v>
      </c>
      <c r="C615" s="60">
        <f>8.6754 * CHOOSE(CONTROL!$C$19, $C$13, 100%, $E$13)</f>
        <v>8.6753999999999998</v>
      </c>
      <c r="D615" s="60">
        <f>8.6906 * CHOOSE(CONTROL!$C$19, $C$13, 100%, $E$13)</f>
        <v>8.6905999999999999</v>
      </c>
      <c r="E615" s="61">
        <f>10.1734 * CHOOSE(CONTROL!$C$19, $C$13, 100%, $E$13)</f>
        <v>10.173400000000001</v>
      </c>
      <c r="F615" s="61">
        <f>10.1734 * CHOOSE(CONTROL!$C$19, $C$13, 100%, $E$13)</f>
        <v>10.173400000000001</v>
      </c>
      <c r="G615" s="61">
        <f>10.1736 * CHOOSE(CONTROL!$C$19, $C$13, 100%, $E$13)</f>
        <v>10.1736</v>
      </c>
      <c r="H615" s="61">
        <f>14.4342* CHOOSE(CONTROL!$C$19, $C$13, 100%, $E$13)</f>
        <v>14.434200000000001</v>
      </c>
      <c r="I615" s="61">
        <f>14.4344 * CHOOSE(CONTROL!$C$19, $C$13, 100%, $E$13)</f>
        <v>14.4344</v>
      </c>
      <c r="J615" s="61">
        <f>10.1734 * CHOOSE(CONTROL!$C$19, $C$13, 100%, $E$13)</f>
        <v>10.173400000000001</v>
      </c>
      <c r="K615" s="61">
        <f>10.1736 * CHOOSE(CONTROL!$C$19, $C$13, 100%, $E$13)</f>
        <v>10.1736</v>
      </c>
    </row>
    <row r="616" spans="1:11" ht="15">
      <c r="A616" s="13">
        <v>60602</v>
      </c>
      <c r="B616" s="60">
        <f>8.6754 * CHOOSE(CONTROL!$C$19, $C$13, 100%, $E$13)</f>
        <v>8.6753999999999998</v>
      </c>
      <c r="C616" s="60">
        <f>8.6754 * CHOOSE(CONTROL!$C$19, $C$13, 100%, $E$13)</f>
        <v>8.6753999999999998</v>
      </c>
      <c r="D616" s="60">
        <f>8.6906 * CHOOSE(CONTROL!$C$19, $C$13, 100%, $E$13)</f>
        <v>8.6905999999999999</v>
      </c>
      <c r="E616" s="61">
        <f>10.0896 * CHOOSE(CONTROL!$C$19, $C$13, 100%, $E$13)</f>
        <v>10.089600000000001</v>
      </c>
      <c r="F616" s="61">
        <f>10.0896 * CHOOSE(CONTROL!$C$19, $C$13, 100%, $E$13)</f>
        <v>10.089600000000001</v>
      </c>
      <c r="G616" s="61">
        <f>10.0898 * CHOOSE(CONTROL!$C$19, $C$13, 100%, $E$13)</f>
        <v>10.0898</v>
      </c>
      <c r="H616" s="61">
        <f>14.4643* CHOOSE(CONTROL!$C$19, $C$13, 100%, $E$13)</f>
        <v>14.4643</v>
      </c>
      <c r="I616" s="61">
        <f>14.4645 * CHOOSE(CONTROL!$C$19, $C$13, 100%, $E$13)</f>
        <v>14.464499999999999</v>
      </c>
      <c r="J616" s="61">
        <f>10.0896 * CHOOSE(CONTROL!$C$19, $C$13, 100%, $E$13)</f>
        <v>10.089600000000001</v>
      </c>
      <c r="K616" s="61">
        <f>10.0898 * CHOOSE(CONTROL!$C$19, $C$13, 100%, $E$13)</f>
        <v>10.0898</v>
      </c>
    </row>
    <row r="617" spans="1:11" ht="15">
      <c r="A617" s="13">
        <v>60633</v>
      </c>
      <c r="B617" s="60">
        <f>8.7273 * CHOOSE(CONTROL!$C$19, $C$13, 100%, $E$13)</f>
        <v>8.7272999999999996</v>
      </c>
      <c r="C617" s="60">
        <f>8.7273 * CHOOSE(CONTROL!$C$19, $C$13, 100%, $E$13)</f>
        <v>8.7272999999999996</v>
      </c>
      <c r="D617" s="60">
        <f>8.7425 * CHOOSE(CONTROL!$C$19, $C$13, 100%, $E$13)</f>
        <v>8.7424999999999997</v>
      </c>
      <c r="E617" s="61">
        <f>10.2182 * CHOOSE(CONTROL!$C$19, $C$13, 100%, $E$13)</f>
        <v>10.2182</v>
      </c>
      <c r="F617" s="61">
        <f>10.2182 * CHOOSE(CONTROL!$C$19, $C$13, 100%, $E$13)</f>
        <v>10.2182</v>
      </c>
      <c r="G617" s="61">
        <f>10.2183 * CHOOSE(CONTROL!$C$19, $C$13, 100%, $E$13)</f>
        <v>10.218299999999999</v>
      </c>
      <c r="H617" s="61">
        <f>14.4616* CHOOSE(CONTROL!$C$19, $C$13, 100%, $E$13)</f>
        <v>14.461600000000001</v>
      </c>
      <c r="I617" s="61">
        <f>14.4618 * CHOOSE(CONTROL!$C$19, $C$13, 100%, $E$13)</f>
        <v>14.4618</v>
      </c>
      <c r="J617" s="61">
        <f>10.2182 * CHOOSE(CONTROL!$C$19, $C$13, 100%, $E$13)</f>
        <v>10.2182</v>
      </c>
      <c r="K617" s="61">
        <f>10.2183 * CHOOSE(CONTROL!$C$19, $C$13, 100%, $E$13)</f>
        <v>10.218299999999999</v>
      </c>
    </row>
    <row r="618" spans="1:11" ht="15">
      <c r="A618" s="13">
        <v>60664</v>
      </c>
      <c r="B618" s="60">
        <f>8.7243 * CHOOSE(CONTROL!$C$19, $C$13, 100%, $E$13)</f>
        <v>8.7242999999999995</v>
      </c>
      <c r="C618" s="60">
        <f>8.7243 * CHOOSE(CONTROL!$C$19, $C$13, 100%, $E$13)</f>
        <v>8.7242999999999995</v>
      </c>
      <c r="D618" s="60">
        <f>8.7394 * CHOOSE(CONTROL!$C$19, $C$13, 100%, $E$13)</f>
        <v>8.7393999999999998</v>
      </c>
      <c r="E618" s="61">
        <f>10.0533 * CHOOSE(CONTROL!$C$19, $C$13, 100%, $E$13)</f>
        <v>10.0533</v>
      </c>
      <c r="F618" s="61">
        <f>10.0533 * CHOOSE(CONTROL!$C$19, $C$13, 100%, $E$13)</f>
        <v>10.0533</v>
      </c>
      <c r="G618" s="61">
        <f>10.0535 * CHOOSE(CONTROL!$C$19, $C$13, 100%, $E$13)</f>
        <v>10.0535</v>
      </c>
      <c r="H618" s="61">
        <f>14.4917* CHOOSE(CONTROL!$C$19, $C$13, 100%, $E$13)</f>
        <v>14.4917</v>
      </c>
      <c r="I618" s="61">
        <f>14.4919 * CHOOSE(CONTROL!$C$19, $C$13, 100%, $E$13)</f>
        <v>14.491899999999999</v>
      </c>
      <c r="J618" s="61">
        <f>10.0533 * CHOOSE(CONTROL!$C$19, $C$13, 100%, $E$13)</f>
        <v>10.0533</v>
      </c>
      <c r="K618" s="61">
        <f>10.0535 * CHOOSE(CONTROL!$C$19, $C$13, 100%, $E$13)</f>
        <v>10.0535</v>
      </c>
    </row>
    <row r="619" spans="1:11" ht="15">
      <c r="A619" s="13">
        <v>60692</v>
      </c>
      <c r="B619" s="60">
        <f>8.7212 * CHOOSE(CONTROL!$C$19, $C$13, 100%, $E$13)</f>
        <v>8.7211999999999996</v>
      </c>
      <c r="C619" s="60">
        <f>8.7212 * CHOOSE(CONTROL!$C$19, $C$13, 100%, $E$13)</f>
        <v>8.7211999999999996</v>
      </c>
      <c r="D619" s="60">
        <f>8.7364 * CHOOSE(CONTROL!$C$19, $C$13, 100%, $E$13)</f>
        <v>8.7363999999999997</v>
      </c>
      <c r="E619" s="61">
        <f>10.1795 * CHOOSE(CONTROL!$C$19, $C$13, 100%, $E$13)</f>
        <v>10.179500000000001</v>
      </c>
      <c r="F619" s="61">
        <f>10.1795 * CHOOSE(CONTROL!$C$19, $C$13, 100%, $E$13)</f>
        <v>10.179500000000001</v>
      </c>
      <c r="G619" s="61">
        <f>10.1797 * CHOOSE(CONTROL!$C$19, $C$13, 100%, $E$13)</f>
        <v>10.1797</v>
      </c>
      <c r="H619" s="61">
        <f>14.5219* CHOOSE(CONTROL!$C$19, $C$13, 100%, $E$13)</f>
        <v>14.5219</v>
      </c>
      <c r="I619" s="61">
        <f>14.5221 * CHOOSE(CONTROL!$C$19, $C$13, 100%, $E$13)</f>
        <v>14.5221</v>
      </c>
      <c r="J619" s="61">
        <f>10.1795 * CHOOSE(CONTROL!$C$19, $C$13, 100%, $E$13)</f>
        <v>10.179500000000001</v>
      </c>
      <c r="K619" s="61">
        <f>10.1797 * CHOOSE(CONTROL!$C$19, $C$13, 100%, $E$13)</f>
        <v>10.1797</v>
      </c>
    </row>
    <row r="620" spans="1:11" ht="15">
      <c r="A620" s="13">
        <v>60723</v>
      </c>
      <c r="B620" s="60">
        <f>8.7235 * CHOOSE(CONTROL!$C$19, $C$13, 100%, $E$13)</f>
        <v>8.7234999999999996</v>
      </c>
      <c r="C620" s="60">
        <f>8.7235 * CHOOSE(CONTROL!$C$19, $C$13, 100%, $E$13)</f>
        <v>8.7234999999999996</v>
      </c>
      <c r="D620" s="60">
        <f>8.7387 * CHOOSE(CONTROL!$C$19, $C$13, 100%, $E$13)</f>
        <v>8.7386999999999997</v>
      </c>
      <c r="E620" s="61">
        <f>10.313 * CHOOSE(CONTROL!$C$19, $C$13, 100%, $E$13)</f>
        <v>10.313000000000001</v>
      </c>
      <c r="F620" s="61">
        <f>10.313 * CHOOSE(CONTROL!$C$19, $C$13, 100%, $E$13)</f>
        <v>10.313000000000001</v>
      </c>
      <c r="G620" s="61">
        <f>10.3132 * CHOOSE(CONTROL!$C$19, $C$13, 100%, $E$13)</f>
        <v>10.3132</v>
      </c>
      <c r="H620" s="61">
        <f>14.5522* CHOOSE(CONTROL!$C$19, $C$13, 100%, $E$13)</f>
        <v>14.552199999999999</v>
      </c>
      <c r="I620" s="61">
        <f>14.5524 * CHOOSE(CONTROL!$C$19, $C$13, 100%, $E$13)</f>
        <v>14.5524</v>
      </c>
      <c r="J620" s="61">
        <f>10.313 * CHOOSE(CONTROL!$C$19, $C$13, 100%, $E$13)</f>
        <v>10.313000000000001</v>
      </c>
      <c r="K620" s="61">
        <f>10.3132 * CHOOSE(CONTROL!$C$19, $C$13, 100%, $E$13)</f>
        <v>10.3132</v>
      </c>
    </row>
    <row r="621" spans="1:11" ht="15">
      <c r="A621" s="13">
        <v>60753</v>
      </c>
      <c r="B621" s="60">
        <f>8.7235 * CHOOSE(CONTROL!$C$19, $C$13, 100%, $E$13)</f>
        <v>8.7234999999999996</v>
      </c>
      <c r="C621" s="60">
        <f>8.7235 * CHOOSE(CONTROL!$C$19, $C$13, 100%, $E$13)</f>
        <v>8.7234999999999996</v>
      </c>
      <c r="D621" s="60">
        <f>8.7539 * CHOOSE(CONTROL!$C$19, $C$13, 100%, $E$13)</f>
        <v>8.7538999999999998</v>
      </c>
      <c r="E621" s="61">
        <f>10.3647 * CHOOSE(CONTROL!$C$19, $C$13, 100%, $E$13)</f>
        <v>10.364699999999999</v>
      </c>
      <c r="F621" s="61">
        <f>10.3647 * CHOOSE(CONTROL!$C$19, $C$13, 100%, $E$13)</f>
        <v>10.364699999999999</v>
      </c>
      <c r="G621" s="61">
        <f>10.3666 * CHOOSE(CONTROL!$C$19, $C$13, 100%, $E$13)</f>
        <v>10.3666</v>
      </c>
      <c r="H621" s="61">
        <f>14.5825* CHOOSE(CONTROL!$C$19, $C$13, 100%, $E$13)</f>
        <v>14.5825</v>
      </c>
      <c r="I621" s="61">
        <f>14.5844 * CHOOSE(CONTROL!$C$19, $C$13, 100%, $E$13)</f>
        <v>14.5844</v>
      </c>
      <c r="J621" s="61">
        <f>10.3647 * CHOOSE(CONTROL!$C$19, $C$13, 100%, $E$13)</f>
        <v>10.364699999999999</v>
      </c>
      <c r="K621" s="61">
        <f>10.3666 * CHOOSE(CONTROL!$C$19, $C$13, 100%, $E$13)</f>
        <v>10.3666</v>
      </c>
    </row>
    <row r="622" spans="1:11" ht="15">
      <c r="A622" s="13">
        <v>60784</v>
      </c>
      <c r="B622" s="60">
        <f>8.7296 * CHOOSE(CONTROL!$C$19, $C$13, 100%, $E$13)</f>
        <v>8.7295999999999996</v>
      </c>
      <c r="C622" s="60">
        <f>8.7296 * CHOOSE(CONTROL!$C$19, $C$13, 100%, $E$13)</f>
        <v>8.7295999999999996</v>
      </c>
      <c r="D622" s="60">
        <f>8.76 * CHOOSE(CONTROL!$C$19, $C$13, 100%, $E$13)</f>
        <v>8.76</v>
      </c>
      <c r="E622" s="61">
        <f>10.3173 * CHOOSE(CONTROL!$C$19, $C$13, 100%, $E$13)</f>
        <v>10.317299999999999</v>
      </c>
      <c r="F622" s="61">
        <f>10.3173 * CHOOSE(CONTROL!$C$19, $C$13, 100%, $E$13)</f>
        <v>10.317299999999999</v>
      </c>
      <c r="G622" s="61">
        <f>10.3192 * CHOOSE(CONTROL!$C$19, $C$13, 100%, $E$13)</f>
        <v>10.3192</v>
      </c>
      <c r="H622" s="61">
        <f>14.6129* CHOOSE(CONTROL!$C$19, $C$13, 100%, $E$13)</f>
        <v>14.6129</v>
      </c>
      <c r="I622" s="61">
        <f>14.6148 * CHOOSE(CONTROL!$C$19, $C$13, 100%, $E$13)</f>
        <v>14.614800000000001</v>
      </c>
      <c r="J622" s="61">
        <f>10.3173 * CHOOSE(CONTROL!$C$19, $C$13, 100%, $E$13)</f>
        <v>10.317299999999999</v>
      </c>
      <c r="K622" s="61">
        <f>10.3192 * CHOOSE(CONTROL!$C$19, $C$13, 100%, $E$13)</f>
        <v>10.3192</v>
      </c>
    </row>
    <row r="623" spans="1:11" ht="15">
      <c r="A623" s="13">
        <v>60814</v>
      </c>
      <c r="B623" s="60">
        <f>8.8553 * CHOOSE(CONTROL!$C$19, $C$13, 100%, $E$13)</f>
        <v>8.8552999999999997</v>
      </c>
      <c r="C623" s="60">
        <f>8.8553 * CHOOSE(CONTROL!$C$19, $C$13, 100%, $E$13)</f>
        <v>8.8552999999999997</v>
      </c>
      <c r="D623" s="60">
        <f>8.8856 * CHOOSE(CONTROL!$C$19, $C$13, 100%, $E$13)</f>
        <v>8.8856000000000002</v>
      </c>
      <c r="E623" s="61">
        <f>10.5083 * CHOOSE(CONTROL!$C$19, $C$13, 100%, $E$13)</f>
        <v>10.5083</v>
      </c>
      <c r="F623" s="61">
        <f>10.5083 * CHOOSE(CONTROL!$C$19, $C$13, 100%, $E$13)</f>
        <v>10.5083</v>
      </c>
      <c r="G623" s="61">
        <f>10.5102 * CHOOSE(CONTROL!$C$19, $C$13, 100%, $E$13)</f>
        <v>10.510199999999999</v>
      </c>
      <c r="H623" s="61">
        <f>14.6433* CHOOSE(CONTROL!$C$19, $C$13, 100%, $E$13)</f>
        <v>14.6433</v>
      </c>
      <c r="I623" s="61">
        <f>14.6452 * CHOOSE(CONTROL!$C$19, $C$13, 100%, $E$13)</f>
        <v>14.645200000000001</v>
      </c>
      <c r="J623" s="61">
        <f>10.5083 * CHOOSE(CONTROL!$C$19, $C$13, 100%, $E$13)</f>
        <v>10.5083</v>
      </c>
      <c r="K623" s="61">
        <f>10.5102 * CHOOSE(CONTROL!$C$19, $C$13, 100%, $E$13)</f>
        <v>10.510199999999999</v>
      </c>
    </row>
    <row r="624" spans="1:11" ht="15">
      <c r="A624" s="13">
        <v>60845</v>
      </c>
      <c r="B624" s="60">
        <f>8.8619 * CHOOSE(CONTROL!$C$19, $C$13, 100%, $E$13)</f>
        <v>8.8619000000000003</v>
      </c>
      <c r="C624" s="60">
        <f>8.8619 * CHOOSE(CONTROL!$C$19, $C$13, 100%, $E$13)</f>
        <v>8.8619000000000003</v>
      </c>
      <c r="D624" s="60">
        <f>8.8923 * CHOOSE(CONTROL!$C$19, $C$13, 100%, $E$13)</f>
        <v>8.8923000000000005</v>
      </c>
      <c r="E624" s="61">
        <f>10.3579 * CHOOSE(CONTROL!$C$19, $C$13, 100%, $E$13)</f>
        <v>10.357900000000001</v>
      </c>
      <c r="F624" s="61">
        <f>10.3579 * CHOOSE(CONTROL!$C$19, $C$13, 100%, $E$13)</f>
        <v>10.357900000000001</v>
      </c>
      <c r="G624" s="61">
        <f>10.3598 * CHOOSE(CONTROL!$C$19, $C$13, 100%, $E$13)</f>
        <v>10.3598</v>
      </c>
      <c r="H624" s="61">
        <f>14.6738* CHOOSE(CONTROL!$C$19, $C$13, 100%, $E$13)</f>
        <v>14.6738</v>
      </c>
      <c r="I624" s="61">
        <f>14.6757 * CHOOSE(CONTROL!$C$19, $C$13, 100%, $E$13)</f>
        <v>14.675700000000001</v>
      </c>
      <c r="J624" s="61">
        <f>10.3579 * CHOOSE(CONTROL!$C$19, $C$13, 100%, $E$13)</f>
        <v>10.357900000000001</v>
      </c>
      <c r="K624" s="61">
        <f>10.3598 * CHOOSE(CONTROL!$C$19, $C$13, 100%, $E$13)</f>
        <v>10.3598</v>
      </c>
    </row>
    <row r="625" spans="1:11" ht="15">
      <c r="A625" s="13">
        <v>60876</v>
      </c>
      <c r="B625" s="60">
        <f>8.8589 * CHOOSE(CONTROL!$C$19, $C$13, 100%, $E$13)</f>
        <v>8.8589000000000002</v>
      </c>
      <c r="C625" s="60">
        <f>8.8589 * CHOOSE(CONTROL!$C$19, $C$13, 100%, $E$13)</f>
        <v>8.8589000000000002</v>
      </c>
      <c r="D625" s="60">
        <f>8.8893 * CHOOSE(CONTROL!$C$19, $C$13, 100%, $E$13)</f>
        <v>8.8893000000000004</v>
      </c>
      <c r="E625" s="61">
        <f>10.3386 * CHOOSE(CONTROL!$C$19, $C$13, 100%, $E$13)</f>
        <v>10.3386</v>
      </c>
      <c r="F625" s="61">
        <f>10.3386 * CHOOSE(CONTROL!$C$19, $C$13, 100%, $E$13)</f>
        <v>10.3386</v>
      </c>
      <c r="G625" s="61">
        <f>10.3405 * CHOOSE(CONTROL!$C$19, $C$13, 100%, $E$13)</f>
        <v>10.3405</v>
      </c>
      <c r="H625" s="61">
        <f>14.7044* CHOOSE(CONTROL!$C$19, $C$13, 100%, $E$13)</f>
        <v>14.7044</v>
      </c>
      <c r="I625" s="61">
        <f>14.7063 * CHOOSE(CONTROL!$C$19, $C$13, 100%, $E$13)</f>
        <v>14.706300000000001</v>
      </c>
      <c r="J625" s="61">
        <f>10.3386 * CHOOSE(CONTROL!$C$19, $C$13, 100%, $E$13)</f>
        <v>10.3386</v>
      </c>
      <c r="K625" s="61">
        <f>10.3405 * CHOOSE(CONTROL!$C$19, $C$13, 100%, $E$13)</f>
        <v>10.3405</v>
      </c>
    </row>
    <row r="626" spans="1:11" ht="15">
      <c r="A626" s="13">
        <v>60906</v>
      </c>
      <c r="B626" s="60">
        <f>8.8724 * CHOOSE(CONTROL!$C$19, $C$13, 100%, $E$13)</f>
        <v>8.8724000000000007</v>
      </c>
      <c r="C626" s="60">
        <f>8.8724 * CHOOSE(CONTROL!$C$19, $C$13, 100%, $E$13)</f>
        <v>8.8724000000000007</v>
      </c>
      <c r="D626" s="60">
        <f>8.8876 * CHOOSE(CONTROL!$C$19, $C$13, 100%, $E$13)</f>
        <v>8.8876000000000008</v>
      </c>
      <c r="E626" s="61">
        <f>10.394 * CHOOSE(CONTROL!$C$19, $C$13, 100%, $E$13)</f>
        <v>10.394</v>
      </c>
      <c r="F626" s="61">
        <f>10.394 * CHOOSE(CONTROL!$C$19, $C$13, 100%, $E$13)</f>
        <v>10.394</v>
      </c>
      <c r="G626" s="61">
        <f>10.3942 * CHOOSE(CONTROL!$C$19, $C$13, 100%, $E$13)</f>
        <v>10.3942</v>
      </c>
      <c r="H626" s="61">
        <f>14.735* CHOOSE(CONTROL!$C$19, $C$13, 100%, $E$13)</f>
        <v>14.734999999999999</v>
      </c>
      <c r="I626" s="61">
        <f>14.7352 * CHOOSE(CONTROL!$C$19, $C$13, 100%, $E$13)</f>
        <v>14.735200000000001</v>
      </c>
      <c r="J626" s="61">
        <f>10.394 * CHOOSE(CONTROL!$C$19, $C$13, 100%, $E$13)</f>
        <v>10.394</v>
      </c>
      <c r="K626" s="61">
        <f>10.3942 * CHOOSE(CONTROL!$C$19, $C$13, 100%, $E$13)</f>
        <v>10.3942</v>
      </c>
    </row>
    <row r="627" spans="1:11" ht="15">
      <c r="A627" s="13">
        <v>60937</v>
      </c>
      <c r="B627" s="60">
        <f>8.8755 * CHOOSE(CONTROL!$C$19, $C$13, 100%, $E$13)</f>
        <v>8.8755000000000006</v>
      </c>
      <c r="C627" s="60">
        <f>8.8755 * CHOOSE(CONTROL!$C$19, $C$13, 100%, $E$13)</f>
        <v>8.8755000000000006</v>
      </c>
      <c r="D627" s="60">
        <f>8.8907 * CHOOSE(CONTROL!$C$19, $C$13, 100%, $E$13)</f>
        <v>8.8907000000000007</v>
      </c>
      <c r="E627" s="61">
        <f>10.4306 * CHOOSE(CONTROL!$C$19, $C$13, 100%, $E$13)</f>
        <v>10.4306</v>
      </c>
      <c r="F627" s="61">
        <f>10.4306 * CHOOSE(CONTROL!$C$19, $C$13, 100%, $E$13)</f>
        <v>10.4306</v>
      </c>
      <c r="G627" s="61">
        <f>10.4308 * CHOOSE(CONTROL!$C$19, $C$13, 100%, $E$13)</f>
        <v>10.4308</v>
      </c>
      <c r="H627" s="61">
        <f>14.7657* CHOOSE(CONTROL!$C$19, $C$13, 100%, $E$13)</f>
        <v>14.765700000000001</v>
      </c>
      <c r="I627" s="61">
        <f>14.7659 * CHOOSE(CONTROL!$C$19, $C$13, 100%, $E$13)</f>
        <v>14.7659</v>
      </c>
      <c r="J627" s="61">
        <f>10.4306 * CHOOSE(CONTROL!$C$19, $C$13, 100%, $E$13)</f>
        <v>10.4306</v>
      </c>
      <c r="K627" s="61">
        <f>10.4308 * CHOOSE(CONTROL!$C$19, $C$13, 100%, $E$13)</f>
        <v>10.4308</v>
      </c>
    </row>
    <row r="628" spans="1:11" ht="15">
      <c r="A628" s="13">
        <v>60967</v>
      </c>
      <c r="B628" s="60">
        <f>8.8755 * CHOOSE(CONTROL!$C$19, $C$13, 100%, $E$13)</f>
        <v>8.8755000000000006</v>
      </c>
      <c r="C628" s="60">
        <f>8.8755 * CHOOSE(CONTROL!$C$19, $C$13, 100%, $E$13)</f>
        <v>8.8755000000000006</v>
      </c>
      <c r="D628" s="60">
        <f>8.8907 * CHOOSE(CONTROL!$C$19, $C$13, 100%, $E$13)</f>
        <v>8.8907000000000007</v>
      </c>
      <c r="E628" s="61">
        <f>10.3445 * CHOOSE(CONTROL!$C$19, $C$13, 100%, $E$13)</f>
        <v>10.3445</v>
      </c>
      <c r="F628" s="61">
        <f>10.3445 * CHOOSE(CONTROL!$C$19, $C$13, 100%, $E$13)</f>
        <v>10.3445</v>
      </c>
      <c r="G628" s="61">
        <f>10.3447 * CHOOSE(CONTROL!$C$19, $C$13, 100%, $E$13)</f>
        <v>10.3447</v>
      </c>
      <c r="H628" s="61">
        <f>14.7965* CHOOSE(CONTROL!$C$19, $C$13, 100%, $E$13)</f>
        <v>14.7965</v>
      </c>
      <c r="I628" s="61">
        <f>14.7967 * CHOOSE(CONTROL!$C$19, $C$13, 100%, $E$13)</f>
        <v>14.7967</v>
      </c>
      <c r="J628" s="61">
        <f>10.3445 * CHOOSE(CONTROL!$C$19, $C$13, 100%, $E$13)</f>
        <v>10.3445</v>
      </c>
      <c r="K628" s="61">
        <f>10.3447 * CHOOSE(CONTROL!$C$19, $C$13, 100%, $E$13)</f>
        <v>10.3447</v>
      </c>
    </row>
    <row r="629" spans="1:11" ht="15">
      <c r="A629" s="13">
        <v>60998</v>
      </c>
      <c r="B629" s="60">
        <f>8.9239 * CHOOSE(CONTROL!$C$19, $C$13, 100%, $E$13)</f>
        <v>8.9238999999999997</v>
      </c>
      <c r="C629" s="60">
        <f>8.9239 * CHOOSE(CONTROL!$C$19, $C$13, 100%, $E$13)</f>
        <v>8.9238999999999997</v>
      </c>
      <c r="D629" s="60">
        <f>8.9391 * CHOOSE(CONTROL!$C$19, $C$13, 100%, $E$13)</f>
        <v>8.9390999999999998</v>
      </c>
      <c r="E629" s="61">
        <f>10.47 * CHOOSE(CONTROL!$C$19, $C$13, 100%, $E$13)</f>
        <v>10.47</v>
      </c>
      <c r="F629" s="61">
        <f>10.47 * CHOOSE(CONTROL!$C$19, $C$13, 100%, $E$13)</f>
        <v>10.47</v>
      </c>
      <c r="G629" s="61">
        <f>10.4702 * CHOOSE(CONTROL!$C$19, $C$13, 100%, $E$13)</f>
        <v>10.4702</v>
      </c>
      <c r="H629" s="61">
        <f>14.7863* CHOOSE(CONTROL!$C$19, $C$13, 100%, $E$13)</f>
        <v>14.786300000000001</v>
      </c>
      <c r="I629" s="61">
        <f>14.7864 * CHOOSE(CONTROL!$C$19, $C$13, 100%, $E$13)</f>
        <v>14.7864</v>
      </c>
      <c r="J629" s="61">
        <f>10.47 * CHOOSE(CONTROL!$C$19, $C$13, 100%, $E$13)</f>
        <v>10.47</v>
      </c>
      <c r="K629" s="61">
        <f>10.4702 * CHOOSE(CONTROL!$C$19, $C$13, 100%, $E$13)</f>
        <v>10.4702</v>
      </c>
    </row>
    <row r="630" spans="1:11" ht="15">
      <c r="A630" s="13">
        <v>61029</v>
      </c>
      <c r="B630" s="60">
        <f>8.9209 * CHOOSE(CONTROL!$C$19, $C$13, 100%, $E$13)</f>
        <v>8.9208999999999996</v>
      </c>
      <c r="C630" s="60">
        <f>8.9209 * CHOOSE(CONTROL!$C$19, $C$13, 100%, $E$13)</f>
        <v>8.9208999999999996</v>
      </c>
      <c r="D630" s="60">
        <f>8.9361 * CHOOSE(CONTROL!$C$19, $C$13, 100%, $E$13)</f>
        <v>8.9360999999999997</v>
      </c>
      <c r="E630" s="61">
        <f>10.3006 * CHOOSE(CONTROL!$C$19, $C$13, 100%, $E$13)</f>
        <v>10.300599999999999</v>
      </c>
      <c r="F630" s="61">
        <f>10.3006 * CHOOSE(CONTROL!$C$19, $C$13, 100%, $E$13)</f>
        <v>10.300599999999999</v>
      </c>
      <c r="G630" s="61">
        <f>10.3008 * CHOOSE(CONTROL!$C$19, $C$13, 100%, $E$13)</f>
        <v>10.300800000000001</v>
      </c>
      <c r="H630" s="61">
        <f>14.8171* CHOOSE(CONTROL!$C$19, $C$13, 100%, $E$13)</f>
        <v>14.8171</v>
      </c>
      <c r="I630" s="61">
        <f>14.8172 * CHOOSE(CONTROL!$C$19, $C$13, 100%, $E$13)</f>
        <v>14.8172</v>
      </c>
      <c r="J630" s="61">
        <f>10.3006 * CHOOSE(CONTROL!$C$19, $C$13, 100%, $E$13)</f>
        <v>10.300599999999999</v>
      </c>
      <c r="K630" s="61">
        <f>10.3008 * CHOOSE(CONTROL!$C$19, $C$13, 100%, $E$13)</f>
        <v>10.300800000000001</v>
      </c>
    </row>
    <row r="631" spans="1:11" ht="15">
      <c r="A631" s="13">
        <v>61057</v>
      </c>
      <c r="B631" s="60">
        <f>8.9178 * CHOOSE(CONTROL!$C$19, $C$13, 100%, $E$13)</f>
        <v>8.9177999999999997</v>
      </c>
      <c r="C631" s="60">
        <f>8.9178 * CHOOSE(CONTROL!$C$19, $C$13, 100%, $E$13)</f>
        <v>8.9177999999999997</v>
      </c>
      <c r="D631" s="60">
        <f>8.933 * CHOOSE(CONTROL!$C$19, $C$13, 100%, $E$13)</f>
        <v>8.9329999999999998</v>
      </c>
      <c r="E631" s="61">
        <f>10.4304 * CHOOSE(CONTROL!$C$19, $C$13, 100%, $E$13)</f>
        <v>10.430400000000001</v>
      </c>
      <c r="F631" s="61">
        <f>10.4304 * CHOOSE(CONTROL!$C$19, $C$13, 100%, $E$13)</f>
        <v>10.430400000000001</v>
      </c>
      <c r="G631" s="61">
        <f>10.4305 * CHOOSE(CONTROL!$C$19, $C$13, 100%, $E$13)</f>
        <v>10.4305</v>
      </c>
      <c r="H631" s="61">
        <f>14.8479* CHOOSE(CONTROL!$C$19, $C$13, 100%, $E$13)</f>
        <v>14.847899999999999</v>
      </c>
      <c r="I631" s="61">
        <f>14.8481 * CHOOSE(CONTROL!$C$19, $C$13, 100%, $E$13)</f>
        <v>14.848100000000001</v>
      </c>
      <c r="J631" s="61">
        <f>10.4304 * CHOOSE(CONTROL!$C$19, $C$13, 100%, $E$13)</f>
        <v>10.430400000000001</v>
      </c>
      <c r="K631" s="61">
        <f>10.4305 * CHOOSE(CONTROL!$C$19, $C$13, 100%, $E$13)</f>
        <v>10.4305</v>
      </c>
    </row>
    <row r="632" spans="1:11" ht="15">
      <c r="A632" s="13">
        <v>61088</v>
      </c>
      <c r="B632" s="60">
        <f>8.9203 * CHOOSE(CONTROL!$C$19, $C$13, 100%, $E$13)</f>
        <v>8.9202999999999992</v>
      </c>
      <c r="C632" s="60">
        <f>8.9203 * CHOOSE(CONTROL!$C$19, $C$13, 100%, $E$13)</f>
        <v>8.9202999999999992</v>
      </c>
      <c r="D632" s="60">
        <f>8.9355 * CHOOSE(CONTROL!$C$19, $C$13, 100%, $E$13)</f>
        <v>8.9354999999999993</v>
      </c>
      <c r="E632" s="61">
        <f>10.5677 * CHOOSE(CONTROL!$C$19, $C$13, 100%, $E$13)</f>
        <v>10.5677</v>
      </c>
      <c r="F632" s="61">
        <f>10.5677 * CHOOSE(CONTROL!$C$19, $C$13, 100%, $E$13)</f>
        <v>10.5677</v>
      </c>
      <c r="G632" s="61">
        <f>10.5679 * CHOOSE(CONTROL!$C$19, $C$13, 100%, $E$13)</f>
        <v>10.5679</v>
      </c>
      <c r="H632" s="61">
        <f>14.8789* CHOOSE(CONTROL!$C$19, $C$13, 100%, $E$13)</f>
        <v>14.8789</v>
      </c>
      <c r="I632" s="61">
        <f>14.879 * CHOOSE(CONTROL!$C$19, $C$13, 100%, $E$13)</f>
        <v>14.879</v>
      </c>
      <c r="J632" s="61">
        <f>10.5677 * CHOOSE(CONTROL!$C$19, $C$13, 100%, $E$13)</f>
        <v>10.5677</v>
      </c>
      <c r="K632" s="61">
        <f>10.5679 * CHOOSE(CONTROL!$C$19, $C$13, 100%, $E$13)</f>
        <v>10.5679</v>
      </c>
    </row>
    <row r="633" spans="1:11" ht="15">
      <c r="A633" s="13">
        <v>61118</v>
      </c>
      <c r="B633" s="60">
        <f>8.9203 * CHOOSE(CONTROL!$C$19, $C$13, 100%, $E$13)</f>
        <v>8.9202999999999992</v>
      </c>
      <c r="C633" s="60">
        <f>8.9203 * CHOOSE(CONTROL!$C$19, $C$13, 100%, $E$13)</f>
        <v>8.9202999999999992</v>
      </c>
      <c r="D633" s="60">
        <f>8.9507 * CHOOSE(CONTROL!$C$19, $C$13, 100%, $E$13)</f>
        <v>8.9506999999999994</v>
      </c>
      <c r="E633" s="61">
        <f>10.6208 * CHOOSE(CONTROL!$C$19, $C$13, 100%, $E$13)</f>
        <v>10.620799999999999</v>
      </c>
      <c r="F633" s="61">
        <f>10.6208 * CHOOSE(CONTROL!$C$19, $C$13, 100%, $E$13)</f>
        <v>10.620799999999999</v>
      </c>
      <c r="G633" s="61">
        <f>10.6227 * CHOOSE(CONTROL!$C$19, $C$13, 100%, $E$13)</f>
        <v>10.6227</v>
      </c>
      <c r="H633" s="61">
        <f>14.9099* CHOOSE(CONTROL!$C$19, $C$13, 100%, $E$13)</f>
        <v>14.9099</v>
      </c>
      <c r="I633" s="61">
        <f>14.9118 * CHOOSE(CONTROL!$C$19, $C$13, 100%, $E$13)</f>
        <v>14.911799999999999</v>
      </c>
      <c r="J633" s="61">
        <f>10.6208 * CHOOSE(CONTROL!$C$19, $C$13, 100%, $E$13)</f>
        <v>10.620799999999999</v>
      </c>
      <c r="K633" s="61">
        <f>10.6227 * CHOOSE(CONTROL!$C$19, $C$13, 100%, $E$13)</f>
        <v>10.6227</v>
      </c>
    </row>
    <row r="634" spans="1:11" ht="15">
      <c r="A634" s="13">
        <v>61149</v>
      </c>
      <c r="B634" s="60">
        <f>8.9264 * CHOOSE(CONTROL!$C$19, $C$13, 100%, $E$13)</f>
        <v>8.9263999999999992</v>
      </c>
      <c r="C634" s="60">
        <f>8.9264 * CHOOSE(CONTROL!$C$19, $C$13, 100%, $E$13)</f>
        <v>8.9263999999999992</v>
      </c>
      <c r="D634" s="60">
        <f>8.9568 * CHOOSE(CONTROL!$C$19, $C$13, 100%, $E$13)</f>
        <v>8.9567999999999994</v>
      </c>
      <c r="E634" s="61">
        <f>10.572 * CHOOSE(CONTROL!$C$19, $C$13, 100%, $E$13)</f>
        <v>10.571999999999999</v>
      </c>
      <c r="F634" s="61">
        <f>10.572 * CHOOSE(CONTROL!$C$19, $C$13, 100%, $E$13)</f>
        <v>10.571999999999999</v>
      </c>
      <c r="G634" s="61">
        <f>10.5739 * CHOOSE(CONTROL!$C$19, $C$13, 100%, $E$13)</f>
        <v>10.5739</v>
      </c>
      <c r="H634" s="61">
        <f>14.9409* CHOOSE(CONTROL!$C$19, $C$13, 100%, $E$13)</f>
        <v>14.940899999999999</v>
      </c>
      <c r="I634" s="61">
        <f>14.9428 * CHOOSE(CONTROL!$C$19, $C$13, 100%, $E$13)</f>
        <v>14.9428</v>
      </c>
      <c r="J634" s="61">
        <f>10.572 * CHOOSE(CONTROL!$C$19, $C$13, 100%, $E$13)</f>
        <v>10.571999999999999</v>
      </c>
      <c r="K634" s="61">
        <f>10.5739 * CHOOSE(CONTROL!$C$19, $C$13, 100%, $E$13)</f>
        <v>10.5739</v>
      </c>
    </row>
    <row r="635" spans="1:11" ht="15">
      <c r="A635" s="13">
        <v>61179</v>
      </c>
      <c r="B635" s="60">
        <f>9.0546 * CHOOSE(CONTROL!$C$19, $C$13, 100%, $E$13)</f>
        <v>9.0546000000000006</v>
      </c>
      <c r="C635" s="60">
        <f>9.0546 * CHOOSE(CONTROL!$C$19, $C$13, 100%, $E$13)</f>
        <v>9.0546000000000006</v>
      </c>
      <c r="D635" s="60">
        <f>9.0849 * CHOOSE(CONTROL!$C$19, $C$13, 100%, $E$13)</f>
        <v>9.0848999999999993</v>
      </c>
      <c r="E635" s="61">
        <f>10.7674 * CHOOSE(CONTROL!$C$19, $C$13, 100%, $E$13)</f>
        <v>10.7674</v>
      </c>
      <c r="F635" s="61">
        <f>10.7674 * CHOOSE(CONTROL!$C$19, $C$13, 100%, $E$13)</f>
        <v>10.7674</v>
      </c>
      <c r="G635" s="61">
        <f>10.7693 * CHOOSE(CONTROL!$C$19, $C$13, 100%, $E$13)</f>
        <v>10.769299999999999</v>
      </c>
      <c r="H635" s="61">
        <f>14.9721* CHOOSE(CONTROL!$C$19, $C$13, 100%, $E$13)</f>
        <v>14.972099999999999</v>
      </c>
      <c r="I635" s="61">
        <f>14.974 * CHOOSE(CONTROL!$C$19, $C$13, 100%, $E$13)</f>
        <v>14.974</v>
      </c>
      <c r="J635" s="61">
        <f>10.7674 * CHOOSE(CONTROL!$C$19, $C$13, 100%, $E$13)</f>
        <v>10.7674</v>
      </c>
      <c r="K635" s="61">
        <f>10.7693 * CHOOSE(CONTROL!$C$19, $C$13, 100%, $E$13)</f>
        <v>10.769299999999999</v>
      </c>
    </row>
    <row r="636" spans="1:11" ht="15">
      <c r="A636" s="13">
        <v>61210</v>
      </c>
      <c r="B636" s="60">
        <f>9.0613 * CHOOSE(CONTROL!$C$19, $C$13, 100%, $E$13)</f>
        <v>9.0612999999999992</v>
      </c>
      <c r="C636" s="60">
        <f>9.0613 * CHOOSE(CONTROL!$C$19, $C$13, 100%, $E$13)</f>
        <v>9.0612999999999992</v>
      </c>
      <c r="D636" s="60">
        <f>9.0916 * CHOOSE(CONTROL!$C$19, $C$13, 100%, $E$13)</f>
        <v>9.0915999999999997</v>
      </c>
      <c r="E636" s="61">
        <f>10.6127 * CHOOSE(CONTROL!$C$19, $C$13, 100%, $E$13)</f>
        <v>10.6127</v>
      </c>
      <c r="F636" s="61">
        <f>10.6127 * CHOOSE(CONTROL!$C$19, $C$13, 100%, $E$13)</f>
        <v>10.6127</v>
      </c>
      <c r="G636" s="61">
        <f>10.6147 * CHOOSE(CONTROL!$C$19, $C$13, 100%, $E$13)</f>
        <v>10.614699999999999</v>
      </c>
      <c r="H636" s="61">
        <f>15.0032* CHOOSE(CONTROL!$C$19, $C$13, 100%, $E$13)</f>
        <v>15.0032</v>
      </c>
      <c r="I636" s="61">
        <f>15.0051 * CHOOSE(CONTROL!$C$19, $C$13, 100%, $E$13)</f>
        <v>15.005100000000001</v>
      </c>
      <c r="J636" s="61">
        <f>10.6127 * CHOOSE(CONTROL!$C$19, $C$13, 100%, $E$13)</f>
        <v>10.6127</v>
      </c>
      <c r="K636" s="61">
        <f>10.6147 * CHOOSE(CONTROL!$C$19, $C$13, 100%, $E$13)</f>
        <v>10.614699999999999</v>
      </c>
    </row>
    <row r="637" spans="1:11" ht="15">
      <c r="A637" s="13">
        <v>61241</v>
      </c>
      <c r="B637" s="60">
        <f>9.0582 * CHOOSE(CONTROL!$C$19, $C$13, 100%, $E$13)</f>
        <v>9.0581999999999994</v>
      </c>
      <c r="C637" s="60">
        <f>9.0582 * CHOOSE(CONTROL!$C$19, $C$13, 100%, $E$13)</f>
        <v>9.0581999999999994</v>
      </c>
      <c r="D637" s="60">
        <f>9.0886 * CHOOSE(CONTROL!$C$19, $C$13, 100%, $E$13)</f>
        <v>9.0885999999999996</v>
      </c>
      <c r="E637" s="61">
        <f>10.5929 * CHOOSE(CONTROL!$C$19, $C$13, 100%, $E$13)</f>
        <v>10.5929</v>
      </c>
      <c r="F637" s="61">
        <f>10.5929 * CHOOSE(CONTROL!$C$19, $C$13, 100%, $E$13)</f>
        <v>10.5929</v>
      </c>
      <c r="G637" s="61">
        <f>10.5948 * CHOOSE(CONTROL!$C$19, $C$13, 100%, $E$13)</f>
        <v>10.594799999999999</v>
      </c>
      <c r="H637" s="61">
        <f>15.0345* CHOOSE(CONTROL!$C$19, $C$13, 100%, $E$13)</f>
        <v>15.0345</v>
      </c>
      <c r="I637" s="61">
        <f>15.0364 * CHOOSE(CONTROL!$C$19, $C$13, 100%, $E$13)</f>
        <v>15.0364</v>
      </c>
      <c r="J637" s="61">
        <f>10.5929 * CHOOSE(CONTROL!$C$19, $C$13, 100%, $E$13)</f>
        <v>10.5929</v>
      </c>
      <c r="K637" s="61">
        <f>10.5948 * CHOOSE(CONTROL!$C$19, $C$13, 100%, $E$13)</f>
        <v>10.594799999999999</v>
      </c>
    </row>
    <row r="638" spans="1:11" ht="15">
      <c r="A638" s="13">
        <v>61271</v>
      </c>
      <c r="B638" s="60">
        <f>9.0725 * CHOOSE(CONTROL!$C$19, $C$13, 100%, $E$13)</f>
        <v>9.0724999999999998</v>
      </c>
      <c r="C638" s="60">
        <f>9.0725 * CHOOSE(CONTROL!$C$19, $C$13, 100%, $E$13)</f>
        <v>9.0724999999999998</v>
      </c>
      <c r="D638" s="60">
        <f>9.0877 * CHOOSE(CONTROL!$C$19, $C$13, 100%, $E$13)</f>
        <v>9.0876999999999999</v>
      </c>
      <c r="E638" s="61">
        <f>10.6503 * CHOOSE(CONTROL!$C$19, $C$13, 100%, $E$13)</f>
        <v>10.6503</v>
      </c>
      <c r="F638" s="61">
        <f>10.6503 * CHOOSE(CONTROL!$C$19, $C$13, 100%, $E$13)</f>
        <v>10.6503</v>
      </c>
      <c r="G638" s="61">
        <f>10.6505 * CHOOSE(CONTROL!$C$19, $C$13, 100%, $E$13)</f>
        <v>10.650499999999999</v>
      </c>
      <c r="H638" s="61">
        <f>15.0658* CHOOSE(CONTROL!$C$19, $C$13, 100%, $E$13)</f>
        <v>15.065799999999999</v>
      </c>
      <c r="I638" s="61">
        <f>15.066 * CHOOSE(CONTROL!$C$19, $C$13, 100%, $E$13)</f>
        <v>15.066000000000001</v>
      </c>
      <c r="J638" s="61">
        <f>10.6503 * CHOOSE(CONTROL!$C$19, $C$13, 100%, $E$13)</f>
        <v>10.6503</v>
      </c>
      <c r="K638" s="61">
        <f>10.6505 * CHOOSE(CONTROL!$C$19, $C$13, 100%, $E$13)</f>
        <v>10.650499999999999</v>
      </c>
    </row>
    <row r="639" spans="1:11" ht="15">
      <c r="A639" s="13">
        <v>61302</v>
      </c>
      <c r="B639" s="60">
        <f>9.0756 * CHOOSE(CONTROL!$C$19, $C$13, 100%, $E$13)</f>
        <v>9.0755999999999997</v>
      </c>
      <c r="C639" s="60">
        <f>9.0756 * CHOOSE(CONTROL!$C$19, $C$13, 100%, $E$13)</f>
        <v>9.0755999999999997</v>
      </c>
      <c r="D639" s="60">
        <f>9.0907 * CHOOSE(CONTROL!$C$19, $C$13, 100%, $E$13)</f>
        <v>9.0907</v>
      </c>
      <c r="E639" s="61">
        <f>10.6878 * CHOOSE(CONTROL!$C$19, $C$13, 100%, $E$13)</f>
        <v>10.687799999999999</v>
      </c>
      <c r="F639" s="61">
        <f>10.6878 * CHOOSE(CONTROL!$C$19, $C$13, 100%, $E$13)</f>
        <v>10.687799999999999</v>
      </c>
      <c r="G639" s="61">
        <f>10.688 * CHOOSE(CONTROL!$C$19, $C$13, 100%, $E$13)</f>
        <v>10.688000000000001</v>
      </c>
      <c r="H639" s="61">
        <f>15.0972* CHOOSE(CONTROL!$C$19, $C$13, 100%, $E$13)</f>
        <v>15.097200000000001</v>
      </c>
      <c r="I639" s="61">
        <f>15.0974 * CHOOSE(CONTROL!$C$19, $C$13, 100%, $E$13)</f>
        <v>15.0974</v>
      </c>
      <c r="J639" s="61">
        <f>10.6878 * CHOOSE(CONTROL!$C$19, $C$13, 100%, $E$13)</f>
        <v>10.687799999999999</v>
      </c>
      <c r="K639" s="61">
        <f>10.688 * CHOOSE(CONTROL!$C$19, $C$13, 100%, $E$13)</f>
        <v>10.688000000000001</v>
      </c>
    </row>
    <row r="640" spans="1:11" ht="15">
      <c r="A640" s="13">
        <v>61332</v>
      </c>
      <c r="B640" s="60">
        <f>9.0756 * CHOOSE(CONTROL!$C$19, $C$13, 100%, $E$13)</f>
        <v>9.0755999999999997</v>
      </c>
      <c r="C640" s="60">
        <f>9.0756 * CHOOSE(CONTROL!$C$19, $C$13, 100%, $E$13)</f>
        <v>9.0755999999999997</v>
      </c>
      <c r="D640" s="60">
        <f>9.0907 * CHOOSE(CONTROL!$C$19, $C$13, 100%, $E$13)</f>
        <v>9.0907</v>
      </c>
      <c r="E640" s="61">
        <f>10.5993 * CHOOSE(CONTROL!$C$19, $C$13, 100%, $E$13)</f>
        <v>10.599299999999999</v>
      </c>
      <c r="F640" s="61">
        <f>10.5993 * CHOOSE(CONTROL!$C$19, $C$13, 100%, $E$13)</f>
        <v>10.599299999999999</v>
      </c>
      <c r="G640" s="61">
        <f>10.5995 * CHOOSE(CONTROL!$C$19, $C$13, 100%, $E$13)</f>
        <v>10.599500000000001</v>
      </c>
      <c r="H640" s="61">
        <f>15.1287* CHOOSE(CONTROL!$C$19, $C$13, 100%, $E$13)</f>
        <v>15.1287</v>
      </c>
      <c r="I640" s="61">
        <f>15.1288 * CHOOSE(CONTROL!$C$19, $C$13, 100%, $E$13)</f>
        <v>15.1288</v>
      </c>
      <c r="J640" s="61">
        <f>10.5993 * CHOOSE(CONTROL!$C$19, $C$13, 100%, $E$13)</f>
        <v>10.599299999999999</v>
      </c>
      <c r="K640" s="61">
        <f>10.5995 * CHOOSE(CONTROL!$C$19, $C$13, 100%, $E$13)</f>
        <v>10.599500000000001</v>
      </c>
    </row>
    <row r="641" spans="1:11" ht="15">
      <c r="A641" s="13">
        <v>61363</v>
      </c>
      <c r="B641" s="60">
        <f>9.1205 * CHOOSE(CONTROL!$C$19, $C$13, 100%, $E$13)</f>
        <v>9.1204999999999998</v>
      </c>
      <c r="C641" s="60">
        <f>9.1205 * CHOOSE(CONTROL!$C$19, $C$13, 100%, $E$13)</f>
        <v>9.1204999999999998</v>
      </c>
      <c r="D641" s="60">
        <f>9.1357 * CHOOSE(CONTROL!$C$19, $C$13, 100%, $E$13)</f>
        <v>9.1356999999999999</v>
      </c>
      <c r="E641" s="61">
        <f>10.7218 * CHOOSE(CONTROL!$C$19, $C$13, 100%, $E$13)</f>
        <v>10.7218</v>
      </c>
      <c r="F641" s="61">
        <f>10.7218 * CHOOSE(CONTROL!$C$19, $C$13, 100%, $E$13)</f>
        <v>10.7218</v>
      </c>
      <c r="G641" s="61">
        <f>10.722 * CHOOSE(CONTROL!$C$19, $C$13, 100%, $E$13)</f>
        <v>10.722</v>
      </c>
      <c r="H641" s="61">
        <f>15.1109* CHOOSE(CONTROL!$C$19, $C$13, 100%, $E$13)</f>
        <v>15.110900000000001</v>
      </c>
      <c r="I641" s="61">
        <f>15.1111 * CHOOSE(CONTROL!$C$19, $C$13, 100%, $E$13)</f>
        <v>15.1111</v>
      </c>
      <c r="J641" s="61">
        <f>10.7218 * CHOOSE(CONTROL!$C$19, $C$13, 100%, $E$13)</f>
        <v>10.7218</v>
      </c>
      <c r="K641" s="61">
        <f>10.722 * CHOOSE(CONTROL!$C$19, $C$13, 100%, $E$13)</f>
        <v>10.722</v>
      </c>
    </row>
    <row r="642" spans="1:11" ht="15">
      <c r="A642" s="13">
        <v>61394</v>
      </c>
      <c r="B642" s="60">
        <f>9.1175 * CHOOSE(CONTROL!$C$19, $C$13, 100%, $E$13)</f>
        <v>9.1174999999999997</v>
      </c>
      <c r="C642" s="60">
        <f>9.1175 * CHOOSE(CONTROL!$C$19, $C$13, 100%, $E$13)</f>
        <v>9.1174999999999997</v>
      </c>
      <c r="D642" s="60">
        <f>9.1327 * CHOOSE(CONTROL!$C$19, $C$13, 100%, $E$13)</f>
        <v>9.1326999999999998</v>
      </c>
      <c r="E642" s="61">
        <f>10.548 * CHOOSE(CONTROL!$C$19, $C$13, 100%, $E$13)</f>
        <v>10.548</v>
      </c>
      <c r="F642" s="61">
        <f>10.548 * CHOOSE(CONTROL!$C$19, $C$13, 100%, $E$13)</f>
        <v>10.548</v>
      </c>
      <c r="G642" s="61">
        <f>10.5482 * CHOOSE(CONTROL!$C$19, $C$13, 100%, $E$13)</f>
        <v>10.5482</v>
      </c>
      <c r="H642" s="61">
        <f>15.1424* CHOOSE(CONTROL!$C$19, $C$13, 100%, $E$13)</f>
        <v>15.1424</v>
      </c>
      <c r="I642" s="61">
        <f>15.1426 * CHOOSE(CONTROL!$C$19, $C$13, 100%, $E$13)</f>
        <v>15.1426</v>
      </c>
      <c r="J642" s="61">
        <f>10.548 * CHOOSE(CONTROL!$C$19, $C$13, 100%, $E$13)</f>
        <v>10.548</v>
      </c>
      <c r="K642" s="61">
        <f>10.5482 * CHOOSE(CONTROL!$C$19, $C$13, 100%, $E$13)</f>
        <v>10.5482</v>
      </c>
    </row>
    <row r="643" spans="1:11" ht="15">
      <c r="A643" s="13">
        <v>61423</v>
      </c>
      <c r="B643" s="60">
        <f>9.1145 * CHOOSE(CONTROL!$C$19, $C$13, 100%, $E$13)</f>
        <v>9.1144999999999996</v>
      </c>
      <c r="C643" s="60">
        <f>9.1145 * CHOOSE(CONTROL!$C$19, $C$13, 100%, $E$13)</f>
        <v>9.1144999999999996</v>
      </c>
      <c r="D643" s="60">
        <f>9.1296 * CHOOSE(CONTROL!$C$19, $C$13, 100%, $E$13)</f>
        <v>9.1295999999999999</v>
      </c>
      <c r="E643" s="61">
        <f>10.6813 * CHOOSE(CONTROL!$C$19, $C$13, 100%, $E$13)</f>
        <v>10.6813</v>
      </c>
      <c r="F643" s="61">
        <f>10.6813 * CHOOSE(CONTROL!$C$19, $C$13, 100%, $E$13)</f>
        <v>10.6813</v>
      </c>
      <c r="G643" s="61">
        <f>10.6814 * CHOOSE(CONTROL!$C$19, $C$13, 100%, $E$13)</f>
        <v>10.6814</v>
      </c>
      <c r="H643" s="61">
        <f>15.1739* CHOOSE(CONTROL!$C$19, $C$13, 100%, $E$13)</f>
        <v>15.1739</v>
      </c>
      <c r="I643" s="61">
        <f>15.1741 * CHOOSE(CONTROL!$C$19, $C$13, 100%, $E$13)</f>
        <v>15.174099999999999</v>
      </c>
      <c r="J643" s="61">
        <f>10.6813 * CHOOSE(CONTROL!$C$19, $C$13, 100%, $E$13)</f>
        <v>10.6813</v>
      </c>
      <c r="K643" s="61">
        <f>10.6814 * CHOOSE(CONTROL!$C$19, $C$13, 100%, $E$13)</f>
        <v>10.6814</v>
      </c>
    </row>
    <row r="644" spans="1:11" ht="15">
      <c r="A644" s="13">
        <v>61454</v>
      </c>
      <c r="B644" s="60">
        <f>9.1172 * CHOOSE(CONTROL!$C$19, $C$13, 100%, $E$13)</f>
        <v>9.1172000000000004</v>
      </c>
      <c r="C644" s="60">
        <f>9.1172 * CHOOSE(CONTROL!$C$19, $C$13, 100%, $E$13)</f>
        <v>9.1172000000000004</v>
      </c>
      <c r="D644" s="60">
        <f>9.1323 * CHOOSE(CONTROL!$C$19, $C$13, 100%, $E$13)</f>
        <v>9.1323000000000008</v>
      </c>
      <c r="E644" s="61">
        <f>10.8224 * CHOOSE(CONTROL!$C$19, $C$13, 100%, $E$13)</f>
        <v>10.8224</v>
      </c>
      <c r="F644" s="61">
        <f>10.8224 * CHOOSE(CONTROL!$C$19, $C$13, 100%, $E$13)</f>
        <v>10.8224</v>
      </c>
      <c r="G644" s="61">
        <f>10.8226 * CHOOSE(CONTROL!$C$19, $C$13, 100%, $E$13)</f>
        <v>10.8226</v>
      </c>
      <c r="H644" s="61">
        <f>15.2056* CHOOSE(CONTROL!$C$19, $C$13, 100%, $E$13)</f>
        <v>15.2056</v>
      </c>
      <c r="I644" s="61">
        <f>15.2057 * CHOOSE(CONTROL!$C$19, $C$13, 100%, $E$13)</f>
        <v>15.2057</v>
      </c>
      <c r="J644" s="61">
        <f>10.8224 * CHOOSE(CONTROL!$C$19, $C$13, 100%, $E$13)</f>
        <v>10.8224</v>
      </c>
      <c r="K644" s="61">
        <f>10.8226 * CHOOSE(CONTROL!$C$19, $C$13, 100%, $E$13)</f>
        <v>10.8226</v>
      </c>
    </row>
    <row r="645" spans="1:11" ht="15">
      <c r="A645" s="13">
        <v>61484</v>
      </c>
      <c r="B645" s="60">
        <f>9.1172 * CHOOSE(CONTROL!$C$19, $C$13, 100%, $E$13)</f>
        <v>9.1172000000000004</v>
      </c>
      <c r="C645" s="60">
        <f>9.1172 * CHOOSE(CONTROL!$C$19, $C$13, 100%, $E$13)</f>
        <v>9.1172000000000004</v>
      </c>
      <c r="D645" s="60">
        <f>9.1475 * CHOOSE(CONTROL!$C$19, $C$13, 100%, $E$13)</f>
        <v>9.1475000000000009</v>
      </c>
      <c r="E645" s="61">
        <f>10.8769 * CHOOSE(CONTROL!$C$19, $C$13, 100%, $E$13)</f>
        <v>10.876899999999999</v>
      </c>
      <c r="F645" s="61">
        <f>10.8769 * CHOOSE(CONTROL!$C$19, $C$13, 100%, $E$13)</f>
        <v>10.876899999999999</v>
      </c>
      <c r="G645" s="61">
        <f>10.8788 * CHOOSE(CONTROL!$C$19, $C$13, 100%, $E$13)</f>
        <v>10.8788</v>
      </c>
      <c r="H645" s="61">
        <f>15.2372* CHOOSE(CONTROL!$C$19, $C$13, 100%, $E$13)</f>
        <v>15.2372</v>
      </c>
      <c r="I645" s="61">
        <f>15.2391 * CHOOSE(CONTROL!$C$19, $C$13, 100%, $E$13)</f>
        <v>15.239100000000001</v>
      </c>
      <c r="J645" s="61">
        <f>10.8769 * CHOOSE(CONTROL!$C$19, $C$13, 100%, $E$13)</f>
        <v>10.876899999999999</v>
      </c>
      <c r="K645" s="61">
        <f>10.8788 * CHOOSE(CONTROL!$C$19, $C$13, 100%, $E$13)</f>
        <v>10.8788</v>
      </c>
    </row>
    <row r="646" spans="1:11" ht="15">
      <c r="A646" s="13">
        <v>61515</v>
      </c>
      <c r="B646" s="60">
        <f>9.1232 * CHOOSE(CONTROL!$C$19, $C$13, 100%, $E$13)</f>
        <v>9.1232000000000006</v>
      </c>
      <c r="C646" s="60">
        <f>9.1232 * CHOOSE(CONTROL!$C$19, $C$13, 100%, $E$13)</f>
        <v>9.1232000000000006</v>
      </c>
      <c r="D646" s="60">
        <f>9.1536 * CHOOSE(CONTROL!$C$19, $C$13, 100%, $E$13)</f>
        <v>9.1536000000000008</v>
      </c>
      <c r="E646" s="61">
        <f>10.8266 * CHOOSE(CONTROL!$C$19, $C$13, 100%, $E$13)</f>
        <v>10.826599999999999</v>
      </c>
      <c r="F646" s="61">
        <f>10.8266 * CHOOSE(CONTROL!$C$19, $C$13, 100%, $E$13)</f>
        <v>10.826599999999999</v>
      </c>
      <c r="G646" s="61">
        <f>10.8285 * CHOOSE(CONTROL!$C$19, $C$13, 100%, $E$13)</f>
        <v>10.8285</v>
      </c>
      <c r="H646" s="61">
        <f>15.269* CHOOSE(CONTROL!$C$19, $C$13, 100%, $E$13)</f>
        <v>15.269</v>
      </c>
      <c r="I646" s="61">
        <f>15.2709 * CHOOSE(CONTROL!$C$19, $C$13, 100%, $E$13)</f>
        <v>15.270899999999999</v>
      </c>
      <c r="J646" s="61">
        <f>10.8266 * CHOOSE(CONTROL!$C$19, $C$13, 100%, $E$13)</f>
        <v>10.826599999999999</v>
      </c>
      <c r="K646" s="61">
        <f>10.8285 * CHOOSE(CONTROL!$C$19, $C$13, 100%, $E$13)</f>
        <v>10.8285</v>
      </c>
    </row>
    <row r="647" spans="1:11" ht="15">
      <c r="A647" s="13">
        <v>61545</v>
      </c>
      <c r="B647" s="60">
        <f>9.2539 * CHOOSE(CONTROL!$C$19, $C$13, 100%, $E$13)</f>
        <v>9.2538999999999998</v>
      </c>
      <c r="C647" s="60">
        <f>9.2539 * CHOOSE(CONTROL!$C$19, $C$13, 100%, $E$13)</f>
        <v>9.2538999999999998</v>
      </c>
      <c r="D647" s="60">
        <f>9.2842 * CHOOSE(CONTROL!$C$19, $C$13, 100%, $E$13)</f>
        <v>9.2842000000000002</v>
      </c>
      <c r="E647" s="61">
        <f>11.0265 * CHOOSE(CONTROL!$C$19, $C$13, 100%, $E$13)</f>
        <v>11.0265</v>
      </c>
      <c r="F647" s="61">
        <f>11.0265 * CHOOSE(CONTROL!$C$19, $C$13, 100%, $E$13)</f>
        <v>11.0265</v>
      </c>
      <c r="G647" s="61">
        <f>11.0284 * CHOOSE(CONTROL!$C$19, $C$13, 100%, $E$13)</f>
        <v>11.0284</v>
      </c>
      <c r="H647" s="61">
        <f>15.3008* CHOOSE(CONTROL!$C$19, $C$13, 100%, $E$13)</f>
        <v>15.300800000000001</v>
      </c>
      <c r="I647" s="61">
        <f>15.3027 * CHOOSE(CONTROL!$C$19, $C$13, 100%, $E$13)</f>
        <v>15.3027</v>
      </c>
      <c r="J647" s="61">
        <f>11.0265 * CHOOSE(CONTROL!$C$19, $C$13, 100%, $E$13)</f>
        <v>11.0265</v>
      </c>
      <c r="K647" s="61">
        <f>11.0284 * CHOOSE(CONTROL!$C$19, $C$13, 100%, $E$13)</f>
        <v>11.0284</v>
      </c>
    </row>
    <row r="648" spans="1:11" ht="15">
      <c r="A648" s="13">
        <v>61576</v>
      </c>
      <c r="B648" s="60">
        <f>9.2606 * CHOOSE(CONTROL!$C$19, $C$13, 100%, $E$13)</f>
        <v>9.2606000000000002</v>
      </c>
      <c r="C648" s="60">
        <f>9.2606 * CHOOSE(CONTROL!$C$19, $C$13, 100%, $E$13)</f>
        <v>9.2606000000000002</v>
      </c>
      <c r="D648" s="60">
        <f>9.2909 * CHOOSE(CONTROL!$C$19, $C$13, 100%, $E$13)</f>
        <v>9.2909000000000006</v>
      </c>
      <c r="E648" s="61">
        <f>10.8676 * CHOOSE(CONTROL!$C$19, $C$13, 100%, $E$13)</f>
        <v>10.867599999999999</v>
      </c>
      <c r="F648" s="61">
        <f>10.8676 * CHOOSE(CONTROL!$C$19, $C$13, 100%, $E$13)</f>
        <v>10.867599999999999</v>
      </c>
      <c r="G648" s="61">
        <f>10.8695 * CHOOSE(CONTROL!$C$19, $C$13, 100%, $E$13)</f>
        <v>10.8695</v>
      </c>
      <c r="H648" s="61">
        <f>15.3327* CHOOSE(CONTROL!$C$19, $C$13, 100%, $E$13)</f>
        <v>15.332700000000001</v>
      </c>
      <c r="I648" s="61">
        <f>15.3346 * CHOOSE(CONTROL!$C$19, $C$13, 100%, $E$13)</f>
        <v>15.3346</v>
      </c>
      <c r="J648" s="61">
        <f>10.8676 * CHOOSE(CONTROL!$C$19, $C$13, 100%, $E$13)</f>
        <v>10.867599999999999</v>
      </c>
      <c r="K648" s="61">
        <f>10.8695 * CHOOSE(CONTROL!$C$19, $C$13, 100%, $E$13)</f>
        <v>10.8695</v>
      </c>
    </row>
    <row r="649" spans="1:11" ht="15">
      <c r="A649" s="13">
        <v>61607</v>
      </c>
      <c r="B649" s="60">
        <f>9.2575 * CHOOSE(CONTROL!$C$19, $C$13, 100%, $E$13)</f>
        <v>9.2575000000000003</v>
      </c>
      <c r="C649" s="60">
        <f>9.2575 * CHOOSE(CONTROL!$C$19, $C$13, 100%, $E$13)</f>
        <v>9.2575000000000003</v>
      </c>
      <c r="D649" s="60">
        <f>9.2879 * CHOOSE(CONTROL!$C$19, $C$13, 100%, $E$13)</f>
        <v>9.2879000000000005</v>
      </c>
      <c r="E649" s="61">
        <f>10.8473 * CHOOSE(CONTROL!$C$19, $C$13, 100%, $E$13)</f>
        <v>10.847300000000001</v>
      </c>
      <c r="F649" s="61">
        <f>10.8473 * CHOOSE(CONTROL!$C$19, $C$13, 100%, $E$13)</f>
        <v>10.847300000000001</v>
      </c>
      <c r="G649" s="61">
        <f>10.8492 * CHOOSE(CONTROL!$C$19, $C$13, 100%, $E$13)</f>
        <v>10.8492</v>
      </c>
      <c r="H649" s="61">
        <f>15.3646* CHOOSE(CONTROL!$C$19, $C$13, 100%, $E$13)</f>
        <v>15.364599999999999</v>
      </c>
      <c r="I649" s="61">
        <f>15.3665 * CHOOSE(CONTROL!$C$19, $C$13, 100%, $E$13)</f>
        <v>15.3665</v>
      </c>
      <c r="J649" s="61">
        <f>10.8473 * CHOOSE(CONTROL!$C$19, $C$13, 100%, $E$13)</f>
        <v>10.847300000000001</v>
      </c>
      <c r="K649" s="61">
        <f>10.8492 * CHOOSE(CONTROL!$C$19, $C$13, 100%, $E$13)</f>
        <v>10.8492</v>
      </c>
    </row>
    <row r="650" spans="1:11" ht="15">
      <c r="A650" s="13">
        <v>61637</v>
      </c>
      <c r="B650" s="60">
        <f>9.2726 * CHOOSE(CONTROL!$C$19, $C$13, 100%, $E$13)</f>
        <v>9.2726000000000006</v>
      </c>
      <c r="C650" s="60">
        <f>9.2726 * CHOOSE(CONTROL!$C$19, $C$13, 100%, $E$13)</f>
        <v>9.2726000000000006</v>
      </c>
      <c r="D650" s="60">
        <f>9.2878 * CHOOSE(CONTROL!$C$19, $C$13, 100%, $E$13)</f>
        <v>9.2878000000000007</v>
      </c>
      <c r="E650" s="61">
        <f>10.9066 * CHOOSE(CONTROL!$C$19, $C$13, 100%, $E$13)</f>
        <v>10.906599999999999</v>
      </c>
      <c r="F650" s="61">
        <f>10.9066 * CHOOSE(CONTROL!$C$19, $C$13, 100%, $E$13)</f>
        <v>10.906599999999999</v>
      </c>
      <c r="G650" s="61">
        <f>10.9067 * CHOOSE(CONTROL!$C$19, $C$13, 100%, $E$13)</f>
        <v>10.906700000000001</v>
      </c>
      <c r="H650" s="61">
        <f>15.3966* CHOOSE(CONTROL!$C$19, $C$13, 100%, $E$13)</f>
        <v>15.396599999999999</v>
      </c>
      <c r="I650" s="61">
        <f>15.3968 * CHOOSE(CONTROL!$C$19, $C$13, 100%, $E$13)</f>
        <v>15.396800000000001</v>
      </c>
      <c r="J650" s="61">
        <f>10.9066 * CHOOSE(CONTROL!$C$19, $C$13, 100%, $E$13)</f>
        <v>10.906599999999999</v>
      </c>
      <c r="K650" s="61">
        <f>10.9067 * CHOOSE(CONTROL!$C$19, $C$13, 100%, $E$13)</f>
        <v>10.906700000000001</v>
      </c>
    </row>
    <row r="651" spans="1:11" ht="15">
      <c r="A651" s="13">
        <v>61668</v>
      </c>
      <c r="B651" s="60">
        <f>9.2756 * CHOOSE(CONTROL!$C$19, $C$13, 100%, $E$13)</f>
        <v>9.2756000000000007</v>
      </c>
      <c r="C651" s="60">
        <f>9.2756 * CHOOSE(CONTROL!$C$19, $C$13, 100%, $E$13)</f>
        <v>9.2756000000000007</v>
      </c>
      <c r="D651" s="60">
        <f>9.2908 * CHOOSE(CONTROL!$C$19, $C$13, 100%, $E$13)</f>
        <v>9.2908000000000008</v>
      </c>
      <c r="E651" s="61">
        <f>10.945 * CHOOSE(CONTROL!$C$19, $C$13, 100%, $E$13)</f>
        <v>10.945</v>
      </c>
      <c r="F651" s="61">
        <f>10.945 * CHOOSE(CONTROL!$C$19, $C$13, 100%, $E$13)</f>
        <v>10.945</v>
      </c>
      <c r="G651" s="61">
        <f>10.9452 * CHOOSE(CONTROL!$C$19, $C$13, 100%, $E$13)</f>
        <v>10.9452</v>
      </c>
      <c r="H651" s="61">
        <f>15.4287* CHOOSE(CONTROL!$C$19, $C$13, 100%, $E$13)</f>
        <v>15.428699999999999</v>
      </c>
      <c r="I651" s="61">
        <f>15.4289 * CHOOSE(CONTROL!$C$19, $C$13, 100%, $E$13)</f>
        <v>15.428900000000001</v>
      </c>
      <c r="J651" s="61">
        <f>10.945 * CHOOSE(CONTROL!$C$19, $C$13, 100%, $E$13)</f>
        <v>10.945</v>
      </c>
      <c r="K651" s="61">
        <f>10.9452 * CHOOSE(CONTROL!$C$19, $C$13, 100%, $E$13)</f>
        <v>10.9452</v>
      </c>
    </row>
    <row r="652" spans="1:11" ht="15">
      <c r="A652" s="13">
        <v>61698</v>
      </c>
      <c r="B652" s="60">
        <f>9.2756 * CHOOSE(CONTROL!$C$19, $C$13, 100%, $E$13)</f>
        <v>9.2756000000000007</v>
      </c>
      <c r="C652" s="60">
        <f>9.2756 * CHOOSE(CONTROL!$C$19, $C$13, 100%, $E$13)</f>
        <v>9.2756000000000007</v>
      </c>
      <c r="D652" s="60">
        <f>9.2908 * CHOOSE(CONTROL!$C$19, $C$13, 100%, $E$13)</f>
        <v>9.2908000000000008</v>
      </c>
      <c r="E652" s="61">
        <f>10.8542 * CHOOSE(CONTROL!$C$19, $C$13, 100%, $E$13)</f>
        <v>10.854200000000001</v>
      </c>
      <c r="F652" s="61">
        <f>10.8542 * CHOOSE(CONTROL!$C$19, $C$13, 100%, $E$13)</f>
        <v>10.854200000000001</v>
      </c>
      <c r="G652" s="61">
        <f>10.8544 * CHOOSE(CONTROL!$C$19, $C$13, 100%, $E$13)</f>
        <v>10.8544</v>
      </c>
      <c r="H652" s="61">
        <f>15.4608* CHOOSE(CONTROL!$C$19, $C$13, 100%, $E$13)</f>
        <v>15.460800000000001</v>
      </c>
      <c r="I652" s="61">
        <f>15.461 * CHOOSE(CONTROL!$C$19, $C$13, 100%, $E$13)</f>
        <v>15.461</v>
      </c>
      <c r="J652" s="61">
        <f>10.8542 * CHOOSE(CONTROL!$C$19, $C$13, 100%, $E$13)</f>
        <v>10.854200000000001</v>
      </c>
      <c r="K652" s="61">
        <f>10.8544 * CHOOSE(CONTROL!$C$19, $C$13, 100%, $E$13)</f>
        <v>10.8544</v>
      </c>
    </row>
    <row r="653" spans="1:11" ht="15">
      <c r="A653" s="13">
        <v>61729</v>
      </c>
      <c r="B653" s="60">
        <f>9.3172 * CHOOSE(CONTROL!$C$19, $C$13, 100%, $E$13)</f>
        <v>9.3171999999999997</v>
      </c>
      <c r="C653" s="60">
        <f>9.3172 * CHOOSE(CONTROL!$C$19, $C$13, 100%, $E$13)</f>
        <v>9.3171999999999997</v>
      </c>
      <c r="D653" s="60">
        <f>9.3323 * CHOOSE(CONTROL!$C$19, $C$13, 100%, $E$13)</f>
        <v>9.3323</v>
      </c>
      <c r="E653" s="61">
        <f>10.9737 * CHOOSE(CONTROL!$C$19, $C$13, 100%, $E$13)</f>
        <v>10.973699999999999</v>
      </c>
      <c r="F653" s="61">
        <f>10.9737 * CHOOSE(CONTROL!$C$19, $C$13, 100%, $E$13)</f>
        <v>10.973699999999999</v>
      </c>
      <c r="G653" s="61">
        <f>10.9738 * CHOOSE(CONTROL!$C$19, $C$13, 100%, $E$13)</f>
        <v>10.973800000000001</v>
      </c>
      <c r="H653" s="61">
        <f>15.4356* CHOOSE(CONTROL!$C$19, $C$13, 100%, $E$13)</f>
        <v>15.435600000000001</v>
      </c>
      <c r="I653" s="61">
        <f>15.4358 * CHOOSE(CONTROL!$C$19, $C$13, 100%, $E$13)</f>
        <v>15.4358</v>
      </c>
      <c r="J653" s="61">
        <f>10.9737 * CHOOSE(CONTROL!$C$19, $C$13, 100%, $E$13)</f>
        <v>10.973699999999999</v>
      </c>
      <c r="K653" s="61">
        <f>10.9738 * CHOOSE(CONTROL!$C$19, $C$13, 100%, $E$13)</f>
        <v>10.973800000000001</v>
      </c>
    </row>
    <row r="654" spans="1:11" ht="15">
      <c r="A654" s="13">
        <v>61760</v>
      </c>
      <c r="B654" s="60">
        <f>9.3141 * CHOOSE(CONTROL!$C$19, $C$13, 100%, $E$13)</f>
        <v>9.3140999999999998</v>
      </c>
      <c r="C654" s="60">
        <f>9.3141 * CHOOSE(CONTROL!$C$19, $C$13, 100%, $E$13)</f>
        <v>9.3140999999999998</v>
      </c>
      <c r="D654" s="60">
        <f>9.3293 * CHOOSE(CONTROL!$C$19, $C$13, 100%, $E$13)</f>
        <v>9.3292999999999999</v>
      </c>
      <c r="E654" s="61">
        <f>10.7954 * CHOOSE(CONTROL!$C$19, $C$13, 100%, $E$13)</f>
        <v>10.795400000000001</v>
      </c>
      <c r="F654" s="61">
        <f>10.7954 * CHOOSE(CONTROL!$C$19, $C$13, 100%, $E$13)</f>
        <v>10.795400000000001</v>
      </c>
      <c r="G654" s="61">
        <f>10.7956 * CHOOSE(CONTROL!$C$19, $C$13, 100%, $E$13)</f>
        <v>10.7956</v>
      </c>
      <c r="H654" s="61">
        <f>15.4677* CHOOSE(CONTROL!$C$19, $C$13, 100%, $E$13)</f>
        <v>15.467700000000001</v>
      </c>
      <c r="I654" s="61">
        <f>15.4679 * CHOOSE(CONTROL!$C$19, $C$13, 100%, $E$13)</f>
        <v>15.4679</v>
      </c>
      <c r="J654" s="61">
        <f>10.7954 * CHOOSE(CONTROL!$C$19, $C$13, 100%, $E$13)</f>
        <v>10.795400000000001</v>
      </c>
      <c r="K654" s="61">
        <f>10.7956 * CHOOSE(CONTROL!$C$19, $C$13, 100%, $E$13)</f>
        <v>10.7956</v>
      </c>
    </row>
    <row r="655" spans="1:11" ht="15">
      <c r="A655" s="13">
        <v>61788</v>
      </c>
      <c r="B655" s="60">
        <f>9.3111 * CHOOSE(CONTROL!$C$19, $C$13, 100%, $E$13)</f>
        <v>9.3110999999999997</v>
      </c>
      <c r="C655" s="60">
        <f>9.3111 * CHOOSE(CONTROL!$C$19, $C$13, 100%, $E$13)</f>
        <v>9.3110999999999997</v>
      </c>
      <c r="D655" s="60">
        <f>9.3263 * CHOOSE(CONTROL!$C$19, $C$13, 100%, $E$13)</f>
        <v>9.3262999999999998</v>
      </c>
      <c r="E655" s="61">
        <f>10.9321 * CHOOSE(CONTROL!$C$19, $C$13, 100%, $E$13)</f>
        <v>10.9321</v>
      </c>
      <c r="F655" s="61">
        <f>10.9321 * CHOOSE(CONTROL!$C$19, $C$13, 100%, $E$13)</f>
        <v>10.9321</v>
      </c>
      <c r="G655" s="61">
        <f>10.9323 * CHOOSE(CONTROL!$C$19, $C$13, 100%, $E$13)</f>
        <v>10.9323</v>
      </c>
      <c r="H655" s="61">
        <f>15.5* CHOOSE(CONTROL!$C$19, $C$13, 100%, $E$13)</f>
        <v>15.5</v>
      </c>
      <c r="I655" s="61">
        <f>15.5001 * CHOOSE(CONTROL!$C$19, $C$13, 100%, $E$13)</f>
        <v>15.5001</v>
      </c>
      <c r="J655" s="61">
        <f>10.9321 * CHOOSE(CONTROL!$C$19, $C$13, 100%, $E$13)</f>
        <v>10.9321</v>
      </c>
      <c r="K655" s="61">
        <f>10.9323 * CHOOSE(CONTROL!$C$19, $C$13, 100%, $E$13)</f>
        <v>10.9323</v>
      </c>
    </row>
    <row r="656" spans="1:11" ht="15">
      <c r="A656" s="13">
        <v>61819</v>
      </c>
      <c r="B656" s="60">
        <f>9.314 * CHOOSE(CONTROL!$C$19, $C$13, 100%, $E$13)</f>
        <v>9.3140000000000001</v>
      </c>
      <c r="C656" s="60">
        <f>9.314 * CHOOSE(CONTROL!$C$19, $C$13, 100%, $E$13)</f>
        <v>9.3140000000000001</v>
      </c>
      <c r="D656" s="60">
        <f>9.3292 * CHOOSE(CONTROL!$C$19, $C$13, 100%, $E$13)</f>
        <v>9.3292000000000002</v>
      </c>
      <c r="E656" s="61">
        <f>11.0771 * CHOOSE(CONTROL!$C$19, $C$13, 100%, $E$13)</f>
        <v>11.0771</v>
      </c>
      <c r="F656" s="61">
        <f>11.0771 * CHOOSE(CONTROL!$C$19, $C$13, 100%, $E$13)</f>
        <v>11.0771</v>
      </c>
      <c r="G656" s="61">
        <f>11.0772 * CHOOSE(CONTROL!$C$19, $C$13, 100%, $E$13)</f>
        <v>11.077199999999999</v>
      </c>
      <c r="H656" s="61">
        <f>15.5323* CHOOSE(CONTROL!$C$19, $C$13, 100%, $E$13)</f>
        <v>15.532299999999999</v>
      </c>
      <c r="I656" s="61">
        <f>15.5324 * CHOOSE(CONTROL!$C$19, $C$13, 100%, $E$13)</f>
        <v>15.532400000000001</v>
      </c>
      <c r="J656" s="61">
        <f>11.0771 * CHOOSE(CONTROL!$C$19, $C$13, 100%, $E$13)</f>
        <v>11.0771</v>
      </c>
      <c r="K656" s="61">
        <f>11.0772 * CHOOSE(CONTROL!$C$19, $C$13, 100%, $E$13)</f>
        <v>11.077199999999999</v>
      </c>
    </row>
    <row r="657" spans="1:11" ht="15">
      <c r="A657" s="13">
        <v>61849</v>
      </c>
      <c r="B657" s="60">
        <f>9.314 * CHOOSE(CONTROL!$C$19, $C$13, 100%, $E$13)</f>
        <v>9.3140000000000001</v>
      </c>
      <c r="C657" s="60">
        <f>9.314 * CHOOSE(CONTROL!$C$19, $C$13, 100%, $E$13)</f>
        <v>9.3140000000000001</v>
      </c>
      <c r="D657" s="60">
        <f>9.3443 * CHOOSE(CONTROL!$C$19, $C$13, 100%, $E$13)</f>
        <v>9.3443000000000005</v>
      </c>
      <c r="E657" s="61">
        <f>11.133 * CHOOSE(CONTROL!$C$19, $C$13, 100%, $E$13)</f>
        <v>11.132999999999999</v>
      </c>
      <c r="F657" s="61">
        <f>11.133 * CHOOSE(CONTROL!$C$19, $C$13, 100%, $E$13)</f>
        <v>11.132999999999999</v>
      </c>
      <c r="G657" s="61">
        <f>11.1349 * CHOOSE(CONTROL!$C$19, $C$13, 100%, $E$13)</f>
        <v>11.1349</v>
      </c>
      <c r="H657" s="61">
        <f>15.5646* CHOOSE(CONTROL!$C$19, $C$13, 100%, $E$13)</f>
        <v>15.5646</v>
      </c>
      <c r="I657" s="61">
        <f>15.5665 * CHOOSE(CONTROL!$C$19, $C$13, 100%, $E$13)</f>
        <v>15.5665</v>
      </c>
      <c r="J657" s="61">
        <f>11.133 * CHOOSE(CONTROL!$C$19, $C$13, 100%, $E$13)</f>
        <v>11.132999999999999</v>
      </c>
      <c r="K657" s="61">
        <f>11.1349 * CHOOSE(CONTROL!$C$19, $C$13, 100%, $E$13)</f>
        <v>11.1349</v>
      </c>
    </row>
    <row r="658" spans="1:11" ht="15">
      <c r="A658" s="13">
        <v>61880</v>
      </c>
      <c r="B658" s="60">
        <f>9.3201 * CHOOSE(CONTROL!$C$19, $C$13, 100%, $E$13)</f>
        <v>9.3201000000000001</v>
      </c>
      <c r="C658" s="60">
        <f>9.3201 * CHOOSE(CONTROL!$C$19, $C$13, 100%, $E$13)</f>
        <v>9.3201000000000001</v>
      </c>
      <c r="D658" s="60">
        <f>9.3504 * CHOOSE(CONTROL!$C$19, $C$13, 100%, $E$13)</f>
        <v>9.3504000000000005</v>
      </c>
      <c r="E658" s="61">
        <f>11.0813 * CHOOSE(CONTROL!$C$19, $C$13, 100%, $E$13)</f>
        <v>11.081300000000001</v>
      </c>
      <c r="F658" s="61">
        <f>11.0813 * CHOOSE(CONTROL!$C$19, $C$13, 100%, $E$13)</f>
        <v>11.081300000000001</v>
      </c>
      <c r="G658" s="61">
        <f>11.0832 * CHOOSE(CONTROL!$C$19, $C$13, 100%, $E$13)</f>
        <v>11.0832</v>
      </c>
      <c r="H658" s="61">
        <f>15.597* CHOOSE(CONTROL!$C$19, $C$13, 100%, $E$13)</f>
        <v>15.597</v>
      </c>
      <c r="I658" s="61">
        <f>15.5989 * CHOOSE(CONTROL!$C$19, $C$13, 100%, $E$13)</f>
        <v>15.5989</v>
      </c>
      <c r="J658" s="61">
        <f>11.0813 * CHOOSE(CONTROL!$C$19, $C$13, 100%, $E$13)</f>
        <v>11.081300000000001</v>
      </c>
      <c r="K658" s="61">
        <f>11.0832 * CHOOSE(CONTROL!$C$19, $C$13, 100%, $E$13)</f>
        <v>11.0832</v>
      </c>
    </row>
    <row r="659" spans="1:11" ht="15">
      <c r="A659" s="13">
        <v>61910</v>
      </c>
      <c r="B659" s="60">
        <f>9.4532 * CHOOSE(CONTROL!$C$19, $C$13, 100%, $E$13)</f>
        <v>9.4532000000000007</v>
      </c>
      <c r="C659" s="60">
        <f>9.4532 * CHOOSE(CONTROL!$C$19, $C$13, 100%, $E$13)</f>
        <v>9.4532000000000007</v>
      </c>
      <c r="D659" s="60">
        <f>9.4836 * CHOOSE(CONTROL!$C$19, $C$13, 100%, $E$13)</f>
        <v>9.4835999999999991</v>
      </c>
      <c r="E659" s="61">
        <f>11.2856 * CHOOSE(CONTROL!$C$19, $C$13, 100%, $E$13)</f>
        <v>11.285600000000001</v>
      </c>
      <c r="F659" s="61">
        <f>11.2856 * CHOOSE(CONTROL!$C$19, $C$13, 100%, $E$13)</f>
        <v>11.285600000000001</v>
      </c>
      <c r="G659" s="61">
        <f>11.2875 * CHOOSE(CONTROL!$C$19, $C$13, 100%, $E$13)</f>
        <v>11.2875</v>
      </c>
      <c r="H659" s="61">
        <f>15.6295* CHOOSE(CONTROL!$C$19, $C$13, 100%, $E$13)</f>
        <v>15.6295</v>
      </c>
      <c r="I659" s="61">
        <f>15.6314 * CHOOSE(CONTROL!$C$19, $C$13, 100%, $E$13)</f>
        <v>15.631399999999999</v>
      </c>
      <c r="J659" s="61">
        <f>11.2856 * CHOOSE(CONTROL!$C$19, $C$13, 100%, $E$13)</f>
        <v>11.285600000000001</v>
      </c>
      <c r="K659" s="61">
        <f>11.2875 * CHOOSE(CONTROL!$C$19, $C$13, 100%, $E$13)</f>
        <v>11.2875</v>
      </c>
    </row>
    <row r="660" spans="1:11" ht="15">
      <c r="A660" s="13">
        <v>61941</v>
      </c>
      <c r="B660" s="60">
        <f>9.4599 * CHOOSE(CONTROL!$C$19, $C$13, 100%, $E$13)</f>
        <v>9.4598999999999993</v>
      </c>
      <c r="C660" s="60">
        <f>9.4599 * CHOOSE(CONTROL!$C$19, $C$13, 100%, $E$13)</f>
        <v>9.4598999999999993</v>
      </c>
      <c r="D660" s="60">
        <f>9.4902 * CHOOSE(CONTROL!$C$19, $C$13, 100%, $E$13)</f>
        <v>9.4901999999999997</v>
      </c>
      <c r="E660" s="61">
        <f>11.1224 * CHOOSE(CONTROL!$C$19, $C$13, 100%, $E$13)</f>
        <v>11.122400000000001</v>
      </c>
      <c r="F660" s="61">
        <f>11.1224 * CHOOSE(CONTROL!$C$19, $C$13, 100%, $E$13)</f>
        <v>11.122400000000001</v>
      </c>
      <c r="G660" s="61">
        <f>11.1243 * CHOOSE(CONTROL!$C$19, $C$13, 100%, $E$13)</f>
        <v>11.1243</v>
      </c>
      <c r="H660" s="61">
        <f>15.6621* CHOOSE(CONTROL!$C$19, $C$13, 100%, $E$13)</f>
        <v>15.662100000000001</v>
      </c>
      <c r="I660" s="61">
        <f>15.664 * CHOOSE(CONTROL!$C$19, $C$13, 100%, $E$13)</f>
        <v>15.664</v>
      </c>
      <c r="J660" s="61">
        <f>11.1224 * CHOOSE(CONTROL!$C$19, $C$13, 100%, $E$13)</f>
        <v>11.122400000000001</v>
      </c>
      <c r="K660" s="61">
        <f>11.1243 * CHOOSE(CONTROL!$C$19, $C$13, 100%, $E$13)</f>
        <v>11.1243</v>
      </c>
    </row>
    <row r="661" spans="1:11" ht="15">
      <c r="A661" s="13">
        <v>61972</v>
      </c>
      <c r="B661" s="60">
        <f>9.4568 * CHOOSE(CONTROL!$C$19, $C$13, 100%, $E$13)</f>
        <v>9.4567999999999994</v>
      </c>
      <c r="C661" s="60">
        <f>9.4568 * CHOOSE(CONTROL!$C$19, $C$13, 100%, $E$13)</f>
        <v>9.4567999999999994</v>
      </c>
      <c r="D661" s="60">
        <f>9.4872 * CHOOSE(CONTROL!$C$19, $C$13, 100%, $E$13)</f>
        <v>9.4871999999999996</v>
      </c>
      <c r="E661" s="61">
        <f>11.1017 * CHOOSE(CONTROL!$C$19, $C$13, 100%, $E$13)</f>
        <v>11.101699999999999</v>
      </c>
      <c r="F661" s="61">
        <f>11.1017 * CHOOSE(CONTROL!$C$19, $C$13, 100%, $E$13)</f>
        <v>11.101699999999999</v>
      </c>
      <c r="G661" s="61">
        <f>11.1036 * CHOOSE(CONTROL!$C$19, $C$13, 100%, $E$13)</f>
        <v>11.1036</v>
      </c>
      <c r="H661" s="61">
        <f>15.6947* CHOOSE(CONTROL!$C$19, $C$13, 100%, $E$13)</f>
        <v>15.694699999999999</v>
      </c>
      <c r="I661" s="61">
        <f>15.6966 * CHOOSE(CONTROL!$C$19, $C$13, 100%, $E$13)</f>
        <v>15.6966</v>
      </c>
      <c r="J661" s="61">
        <f>11.1017 * CHOOSE(CONTROL!$C$19, $C$13, 100%, $E$13)</f>
        <v>11.101699999999999</v>
      </c>
      <c r="K661" s="61">
        <f>11.1036 * CHOOSE(CONTROL!$C$19, $C$13, 100%, $E$13)</f>
        <v>11.1036</v>
      </c>
    </row>
    <row r="662" spans="1:11" ht="15">
      <c r="A662" s="13">
        <v>62002</v>
      </c>
      <c r="B662" s="60">
        <f>9.4727 * CHOOSE(CONTROL!$C$19, $C$13, 100%, $E$13)</f>
        <v>9.4726999999999997</v>
      </c>
      <c r="C662" s="60">
        <f>9.4727 * CHOOSE(CONTROL!$C$19, $C$13, 100%, $E$13)</f>
        <v>9.4726999999999997</v>
      </c>
      <c r="D662" s="60">
        <f>9.4878 * CHOOSE(CONTROL!$C$19, $C$13, 100%, $E$13)</f>
        <v>9.4878</v>
      </c>
      <c r="E662" s="61">
        <f>11.1628 * CHOOSE(CONTROL!$C$19, $C$13, 100%, $E$13)</f>
        <v>11.162800000000001</v>
      </c>
      <c r="F662" s="61">
        <f>11.1628 * CHOOSE(CONTROL!$C$19, $C$13, 100%, $E$13)</f>
        <v>11.162800000000001</v>
      </c>
      <c r="G662" s="61">
        <f>11.163 * CHOOSE(CONTROL!$C$19, $C$13, 100%, $E$13)</f>
        <v>11.163</v>
      </c>
      <c r="H662" s="61">
        <f>15.7274* CHOOSE(CONTROL!$C$19, $C$13, 100%, $E$13)</f>
        <v>15.727399999999999</v>
      </c>
      <c r="I662" s="61">
        <f>15.7276 * CHOOSE(CONTROL!$C$19, $C$13, 100%, $E$13)</f>
        <v>15.727600000000001</v>
      </c>
      <c r="J662" s="61">
        <f>11.1628 * CHOOSE(CONTROL!$C$19, $C$13, 100%, $E$13)</f>
        <v>11.162800000000001</v>
      </c>
      <c r="K662" s="61">
        <f>11.163 * CHOOSE(CONTROL!$C$19, $C$13, 100%, $E$13)</f>
        <v>11.163</v>
      </c>
    </row>
    <row r="663" spans="1:11" ht="15">
      <c r="A663" s="13">
        <v>62033</v>
      </c>
      <c r="B663" s="60">
        <f>9.4757 * CHOOSE(CONTROL!$C$19, $C$13, 100%, $E$13)</f>
        <v>9.4756999999999998</v>
      </c>
      <c r="C663" s="60">
        <f>9.4757 * CHOOSE(CONTROL!$C$19, $C$13, 100%, $E$13)</f>
        <v>9.4756999999999998</v>
      </c>
      <c r="D663" s="60">
        <f>9.4909 * CHOOSE(CONTROL!$C$19, $C$13, 100%, $E$13)</f>
        <v>9.4908999999999999</v>
      </c>
      <c r="E663" s="61">
        <f>11.2022 * CHOOSE(CONTROL!$C$19, $C$13, 100%, $E$13)</f>
        <v>11.202199999999999</v>
      </c>
      <c r="F663" s="61">
        <f>11.2022 * CHOOSE(CONTROL!$C$19, $C$13, 100%, $E$13)</f>
        <v>11.202199999999999</v>
      </c>
      <c r="G663" s="61">
        <f>11.2024 * CHOOSE(CONTROL!$C$19, $C$13, 100%, $E$13)</f>
        <v>11.202400000000001</v>
      </c>
      <c r="H663" s="61">
        <f>15.7602* CHOOSE(CONTROL!$C$19, $C$13, 100%, $E$13)</f>
        <v>15.760199999999999</v>
      </c>
      <c r="I663" s="61">
        <f>15.7604 * CHOOSE(CONTROL!$C$19, $C$13, 100%, $E$13)</f>
        <v>15.760400000000001</v>
      </c>
      <c r="J663" s="61">
        <f>11.2022 * CHOOSE(CONTROL!$C$19, $C$13, 100%, $E$13)</f>
        <v>11.202199999999999</v>
      </c>
      <c r="K663" s="61">
        <f>11.2024 * CHOOSE(CONTROL!$C$19, $C$13, 100%, $E$13)</f>
        <v>11.202400000000001</v>
      </c>
    </row>
    <row r="664" spans="1:11" ht="15">
      <c r="A664" s="13">
        <v>62063</v>
      </c>
      <c r="B664" s="60">
        <f>9.4757 * CHOOSE(CONTROL!$C$19, $C$13, 100%, $E$13)</f>
        <v>9.4756999999999998</v>
      </c>
      <c r="C664" s="60">
        <f>9.4757 * CHOOSE(CONTROL!$C$19, $C$13, 100%, $E$13)</f>
        <v>9.4756999999999998</v>
      </c>
      <c r="D664" s="60">
        <f>9.4909 * CHOOSE(CONTROL!$C$19, $C$13, 100%, $E$13)</f>
        <v>9.4908999999999999</v>
      </c>
      <c r="E664" s="61">
        <f>11.109 * CHOOSE(CONTROL!$C$19, $C$13, 100%, $E$13)</f>
        <v>11.109</v>
      </c>
      <c r="F664" s="61">
        <f>11.109 * CHOOSE(CONTROL!$C$19, $C$13, 100%, $E$13)</f>
        <v>11.109</v>
      </c>
      <c r="G664" s="61">
        <f>11.1092 * CHOOSE(CONTROL!$C$19, $C$13, 100%, $E$13)</f>
        <v>11.1092</v>
      </c>
      <c r="H664" s="61">
        <f>15.793* CHOOSE(CONTROL!$C$19, $C$13, 100%, $E$13)</f>
        <v>15.792999999999999</v>
      </c>
      <c r="I664" s="61">
        <f>15.7932 * CHOOSE(CONTROL!$C$19, $C$13, 100%, $E$13)</f>
        <v>15.793200000000001</v>
      </c>
      <c r="J664" s="61">
        <f>11.109 * CHOOSE(CONTROL!$C$19, $C$13, 100%, $E$13)</f>
        <v>11.109</v>
      </c>
      <c r="K664" s="61">
        <f>11.1092 * CHOOSE(CONTROL!$C$19, $C$13, 100%, $E$13)</f>
        <v>11.1092</v>
      </c>
    </row>
    <row r="665" spans="1:11" ht="15">
      <c r="A665" s="13">
        <v>62094</v>
      </c>
      <c r="B665" s="60">
        <f>9.5138 * CHOOSE(CONTROL!$C$19, $C$13, 100%, $E$13)</f>
        <v>9.5137999999999998</v>
      </c>
      <c r="C665" s="60">
        <f>9.5138 * CHOOSE(CONTROL!$C$19, $C$13, 100%, $E$13)</f>
        <v>9.5137999999999998</v>
      </c>
      <c r="D665" s="60">
        <f>9.529 * CHOOSE(CONTROL!$C$19, $C$13, 100%, $E$13)</f>
        <v>9.5289999999999999</v>
      </c>
      <c r="E665" s="61">
        <f>11.2255 * CHOOSE(CONTROL!$C$19, $C$13, 100%, $E$13)</f>
        <v>11.2255</v>
      </c>
      <c r="F665" s="61">
        <f>11.2255 * CHOOSE(CONTROL!$C$19, $C$13, 100%, $E$13)</f>
        <v>11.2255</v>
      </c>
      <c r="G665" s="61">
        <f>11.2257 * CHOOSE(CONTROL!$C$19, $C$13, 100%, $E$13)</f>
        <v>11.2257</v>
      </c>
      <c r="H665" s="61">
        <f>15.7602* CHOOSE(CONTROL!$C$19, $C$13, 100%, $E$13)</f>
        <v>15.760199999999999</v>
      </c>
      <c r="I665" s="61">
        <f>15.7604 * CHOOSE(CONTROL!$C$19, $C$13, 100%, $E$13)</f>
        <v>15.760400000000001</v>
      </c>
      <c r="J665" s="61">
        <f>11.2255 * CHOOSE(CONTROL!$C$19, $C$13, 100%, $E$13)</f>
        <v>11.2255</v>
      </c>
      <c r="K665" s="61">
        <f>11.2257 * CHOOSE(CONTROL!$C$19, $C$13, 100%, $E$13)</f>
        <v>11.2257</v>
      </c>
    </row>
    <row r="666" spans="1:11" ht="15">
      <c r="A666" s="13">
        <v>62125</v>
      </c>
      <c r="B666" s="60">
        <f>9.5107 * CHOOSE(CONTROL!$C$19, $C$13, 100%, $E$13)</f>
        <v>9.5106999999999999</v>
      </c>
      <c r="C666" s="60">
        <f>9.5107 * CHOOSE(CONTROL!$C$19, $C$13, 100%, $E$13)</f>
        <v>9.5106999999999999</v>
      </c>
      <c r="D666" s="60">
        <f>9.5259 * CHOOSE(CONTROL!$C$19, $C$13, 100%, $E$13)</f>
        <v>9.5259</v>
      </c>
      <c r="E666" s="61">
        <f>11.0428 * CHOOSE(CONTROL!$C$19, $C$13, 100%, $E$13)</f>
        <v>11.0428</v>
      </c>
      <c r="F666" s="61">
        <f>11.0428 * CHOOSE(CONTROL!$C$19, $C$13, 100%, $E$13)</f>
        <v>11.0428</v>
      </c>
      <c r="G666" s="61">
        <f>11.0429 * CHOOSE(CONTROL!$C$19, $C$13, 100%, $E$13)</f>
        <v>11.042899999999999</v>
      </c>
      <c r="H666" s="61">
        <f>15.7931* CHOOSE(CONTROL!$C$19, $C$13, 100%, $E$13)</f>
        <v>15.793100000000001</v>
      </c>
      <c r="I666" s="61">
        <f>15.7933 * CHOOSE(CONTROL!$C$19, $C$13, 100%, $E$13)</f>
        <v>15.7933</v>
      </c>
      <c r="J666" s="61">
        <f>11.0428 * CHOOSE(CONTROL!$C$19, $C$13, 100%, $E$13)</f>
        <v>11.0428</v>
      </c>
      <c r="K666" s="61">
        <f>11.0429 * CHOOSE(CONTROL!$C$19, $C$13, 100%, $E$13)</f>
        <v>11.042899999999999</v>
      </c>
    </row>
    <row r="667" spans="1:11" ht="15">
      <c r="A667" s="13">
        <v>62153</v>
      </c>
      <c r="B667" s="60">
        <f>9.5077 * CHOOSE(CONTROL!$C$19, $C$13, 100%, $E$13)</f>
        <v>9.5076999999999998</v>
      </c>
      <c r="C667" s="60">
        <f>9.5077 * CHOOSE(CONTROL!$C$19, $C$13, 100%, $E$13)</f>
        <v>9.5076999999999998</v>
      </c>
      <c r="D667" s="60">
        <f>9.5229 * CHOOSE(CONTROL!$C$19, $C$13, 100%, $E$13)</f>
        <v>9.5228999999999999</v>
      </c>
      <c r="E667" s="61">
        <f>11.183 * CHOOSE(CONTROL!$C$19, $C$13, 100%, $E$13)</f>
        <v>11.183</v>
      </c>
      <c r="F667" s="61">
        <f>11.183 * CHOOSE(CONTROL!$C$19, $C$13, 100%, $E$13)</f>
        <v>11.183</v>
      </c>
      <c r="G667" s="61">
        <f>11.1832 * CHOOSE(CONTROL!$C$19, $C$13, 100%, $E$13)</f>
        <v>11.183199999999999</v>
      </c>
      <c r="H667" s="61">
        <f>15.826* CHOOSE(CONTROL!$C$19, $C$13, 100%, $E$13)</f>
        <v>15.826000000000001</v>
      </c>
      <c r="I667" s="61">
        <f>15.8262 * CHOOSE(CONTROL!$C$19, $C$13, 100%, $E$13)</f>
        <v>15.8262</v>
      </c>
      <c r="J667" s="61">
        <f>11.183 * CHOOSE(CONTROL!$C$19, $C$13, 100%, $E$13)</f>
        <v>11.183</v>
      </c>
      <c r="K667" s="61">
        <f>11.1832 * CHOOSE(CONTROL!$C$19, $C$13, 100%, $E$13)</f>
        <v>11.183199999999999</v>
      </c>
    </row>
    <row r="668" spans="1:11" ht="15">
      <c r="A668" s="13">
        <v>62184</v>
      </c>
      <c r="B668" s="60">
        <f>9.5108 * CHOOSE(CONTROL!$C$19, $C$13, 100%, $E$13)</f>
        <v>9.5107999999999997</v>
      </c>
      <c r="C668" s="60">
        <f>9.5108 * CHOOSE(CONTROL!$C$19, $C$13, 100%, $E$13)</f>
        <v>9.5107999999999997</v>
      </c>
      <c r="D668" s="60">
        <f>9.526 * CHOOSE(CONTROL!$C$19, $C$13, 100%, $E$13)</f>
        <v>9.5259999999999998</v>
      </c>
      <c r="E668" s="61">
        <f>11.3317 * CHOOSE(CONTROL!$C$19, $C$13, 100%, $E$13)</f>
        <v>11.3317</v>
      </c>
      <c r="F668" s="61">
        <f>11.3317 * CHOOSE(CONTROL!$C$19, $C$13, 100%, $E$13)</f>
        <v>11.3317</v>
      </c>
      <c r="G668" s="61">
        <f>11.3319 * CHOOSE(CONTROL!$C$19, $C$13, 100%, $E$13)</f>
        <v>11.331899999999999</v>
      </c>
      <c r="H668" s="61">
        <f>15.859* CHOOSE(CONTROL!$C$19, $C$13, 100%, $E$13)</f>
        <v>15.859</v>
      </c>
      <c r="I668" s="61">
        <f>15.8591 * CHOOSE(CONTROL!$C$19, $C$13, 100%, $E$13)</f>
        <v>15.8591</v>
      </c>
      <c r="J668" s="61">
        <f>11.3317 * CHOOSE(CONTROL!$C$19, $C$13, 100%, $E$13)</f>
        <v>11.3317</v>
      </c>
      <c r="K668" s="61">
        <f>11.3319 * CHOOSE(CONTROL!$C$19, $C$13, 100%, $E$13)</f>
        <v>11.331899999999999</v>
      </c>
    </row>
    <row r="669" spans="1:11" ht="15">
      <c r="A669" s="13">
        <v>62214</v>
      </c>
      <c r="B669" s="60">
        <f>9.5108 * CHOOSE(CONTROL!$C$19, $C$13, 100%, $E$13)</f>
        <v>9.5107999999999997</v>
      </c>
      <c r="C669" s="60">
        <f>9.5108 * CHOOSE(CONTROL!$C$19, $C$13, 100%, $E$13)</f>
        <v>9.5107999999999997</v>
      </c>
      <c r="D669" s="60">
        <f>9.5412 * CHOOSE(CONTROL!$C$19, $C$13, 100%, $E$13)</f>
        <v>9.5411999999999999</v>
      </c>
      <c r="E669" s="61">
        <f>11.3891 * CHOOSE(CONTROL!$C$19, $C$13, 100%, $E$13)</f>
        <v>11.389099999999999</v>
      </c>
      <c r="F669" s="61">
        <f>11.3891 * CHOOSE(CONTROL!$C$19, $C$13, 100%, $E$13)</f>
        <v>11.389099999999999</v>
      </c>
      <c r="G669" s="61">
        <f>11.391 * CHOOSE(CONTROL!$C$19, $C$13, 100%, $E$13)</f>
        <v>11.391</v>
      </c>
      <c r="H669" s="61">
        <f>15.892* CHOOSE(CONTROL!$C$19, $C$13, 100%, $E$13)</f>
        <v>15.891999999999999</v>
      </c>
      <c r="I669" s="61">
        <f>15.8939 * CHOOSE(CONTROL!$C$19, $C$13, 100%, $E$13)</f>
        <v>15.8939</v>
      </c>
      <c r="J669" s="61">
        <f>11.3891 * CHOOSE(CONTROL!$C$19, $C$13, 100%, $E$13)</f>
        <v>11.389099999999999</v>
      </c>
      <c r="K669" s="61">
        <f>11.391 * CHOOSE(CONTROL!$C$19, $C$13, 100%, $E$13)</f>
        <v>11.391</v>
      </c>
    </row>
    <row r="670" spans="1:11" ht="15">
      <c r="A670" s="13">
        <v>62245</v>
      </c>
      <c r="B670" s="60">
        <f>9.5169 * CHOOSE(CONTROL!$C$19, $C$13, 100%, $E$13)</f>
        <v>9.5168999999999997</v>
      </c>
      <c r="C670" s="60">
        <f>9.5169 * CHOOSE(CONTROL!$C$19, $C$13, 100%, $E$13)</f>
        <v>9.5168999999999997</v>
      </c>
      <c r="D670" s="60">
        <f>9.5472 * CHOOSE(CONTROL!$C$19, $C$13, 100%, $E$13)</f>
        <v>9.5472000000000001</v>
      </c>
      <c r="E670" s="61">
        <f>11.336 * CHOOSE(CONTROL!$C$19, $C$13, 100%, $E$13)</f>
        <v>11.336</v>
      </c>
      <c r="F670" s="61">
        <f>11.336 * CHOOSE(CONTROL!$C$19, $C$13, 100%, $E$13)</f>
        <v>11.336</v>
      </c>
      <c r="G670" s="61">
        <f>11.3379 * CHOOSE(CONTROL!$C$19, $C$13, 100%, $E$13)</f>
        <v>11.337899999999999</v>
      </c>
      <c r="H670" s="61">
        <f>15.9251* CHOOSE(CONTROL!$C$19, $C$13, 100%, $E$13)</f>
        <v>15.9251</v>
      </c>
      <c r="I670" s="61">
        <f>15.927 * CHOOSE(CONTROL!$C$19, $C$13, 100%, $E$13)</f>
        <v>15.927</v>
      </c>
      <c r="J670" s="61">
        <f>11.336 * CHOOSE(CONTROL!$C$19, $C$13, 100%, $E$13)</f>
        <v>11.336</v>
      </c>
      <c r="K670" s="61">
        <f>11.3379 * CHOOSE(CONTROL!$C$19, $C$13, 100%, $E$13)</f>
        <v>11.337899999999999</v>
      </c>
    </row>
    <row r="671" spans="1:11" ht="15">
      <c r="A671" s="13">
        <v>62275</v>
      </c>
      <c r="B671" s="60">
        <f>9.6525 * CHOOSE(CONTROL!$C$19, $C$13, 100%, $E$13)</f>
        <v>9.6524999999999999</v>
      </c>
      <c r="C671" s="60">
        <f>9.6525 * CHOOSE(CONTROL!$C$19, $C$13, 100%, $E$13)</f>
        <v>9.6524999999999999</v>
      </c>
      <c r="D671" s="60">
        <f>9.6829 * CHOOSE(CONTROL!$C$19, $C$13, 100%, $E$13)</f>
        <v>9.6829000000000001</v>
      </c>
      <c r="E671" s="61">
        <f>11.5447 * CHOOSE(CONTROL!$C$19, $C$13, 100%, $E$13)</f>
        <v>11.544700000000001</v>
      </c>
      <c r="F671" s="61">
        <f>11.5447 * CHOOSE(CONTROL!$C$19, $C$13, 100%, $E$13)</f>
        <v>11.544700000000001</v>
      </c>
      <c r="G671" s="61">
        <f>11.5466 * CHOOSE(CONTROL!$C$19, $C$13, 100%, $E$13)</f>
        <v>11.5466</v>
      </c>
      <c r="H671" s="61">
        <f>15.9583* CHOOSE(CONTROL!$C$19, $C$13, 100%, $E$13)</f>
        <v>15.958299999999999</v>
      </c>
      <c r="I671" s="61">
        <f>15.9602 * CHOOSE(CONTROL!$C$19, $C$13, 100%, $E$13)</f>
        <v>15.9602</v>
      </c>
      <c r="J671" s="61">
        <f>11.5447 * CHOOSE(CONTROL!$C$19, $C$13, 100%, $E$13)</f>
        <v>11.544700000000001</v>
      </c>
      <c r="K671" s="61">
        <f>11.5466 * CHOOSE(CONTROL!$C$19, $C$13, 100%, $E$13)</f>
        <v>11.5466</v>
      </c>
    </row>
    <row r="672" spans="1:11" ht="15">
      <c r="A672" s="13">
        <v>62306</v>
      </c>
      <c r="B672" s="60">
        <f>9.6592 * CHOOSE(CONTROL!$C$19, $C$13, 100%, $E$13)</f>
        <v>9.6592000000000002</v>
      </c>
      <c r="C672" s="60">
        <f>9.6592 * CHOOSE(CONTROL!$C$19, $C$13, 100%, $E$13)</f>
        <v>9.6592000000000002</v>
      </c>
      <c r="D672" s="60">
        <f>9.6896 * CHOOSE(CONTROL!$C$19, $C$13, 100%, $E$13)</f>
        <v>9.6896000000000004</v>
      </c>
      <c r="E672" s="61">
        <f>11.3773 * CHOOSE(CONTROL!$C$19, $C$13, 100%, $E$13)</f>
        <v>11.3773</v>
      </c>
      <c r="F672" s="61">
        <f>11.3773 * CHOOSE(CONTROL!$C$19, $C$13, 100%, $E$13)</f>
        <v>11.3773</v>
      </c>
      <c r="G672" s="61">
        <f>11.3792 * CHOOSE(CONTROL!$C$19, $C$13, 100%, $E$13)</f>
        <v>11.379200000000001</v>
      </c>
      <c r="H672" s="61">
        <f>15.9915* CHOOSE(CONTROL!$C$19, $C$13, 100%, $E$13)</f>
        <v>15.9915</v>
      </c>
      <c r="I672" s="61">
        <f>15.9934 * CHOOSE(CONTROL!$C$19, $C$13, 100%, $E$13)</f>
        <v>15.993399999999999</v>
      </c>
      <c r="J672" s="61">
        <f>11.3773 * CHOOSE(CONTROL!$C$19, $C$13, 100%, $E$13)</f>
        <v>11.3773</v>
      </c>
      <c r="K672" s="61">
        <f>11.3792 * CHOOSE(CONTROL!$C$19, $C$13, 100%, $E$13)</f>
        <v>11.379200000000001</v>
      </c>
    </row>
    <row r="673" spans="1:11" ht="15">
      <c r="A673" s="13">
        <v>62337</v>
      </c>
      <c r="B673" s="60">
        <f>9.6562 * CHOOSE(CONTROL!$C$19, $C$13, 100%, $E$13)</f>
        <v>9.6562000000000001</v>
      </c>
      <c r="C673" s="60">
        <f>9.6562 * CHOOSE(CONTROL!$C$19, $C$13, 100%, $E$13)</f>
        <v>9.6562000000000001</v>
      </c>
      <c r="D673" s="60">
        <f>9.6865 * CHOOSE(CONTROL!$C$19, $C$13, 100%, $E$13)</f>
        <v>9.6865000000000006</v>
      </c>
      <c r="E673" s="61">
        <f>11.356 * CHOOSE(CONTROL!$C$19, $C$13, 100%, $E$13)</f>
        <v>11.356</v>
      </c>
      <c r="F673" s="61">
        <f>11.356 * CHOOSE(CONTROL!$C$19, $C$13, 100%, $E$13)</f>
        <v>11.356</v>
      </c>
      <c r="G673" s="61">
        <f>11.3579 * CHOOSE(CONTROL!$C$19, $C$13, 100%, $E$13)</f>
        <v>11.357900000000001</v>
      </c>
      <c r="H673" s="61">
        <f>16.0248* CHOOSE(CONTROL!$C$19, $C$13, 100%, $E$13)</f>
        <v>16.024799999999999</v>
      </c>
      <c r="I673" s="61">
        <f>16.0267 * CHOOSE(CONTROL!$C$19, $C$13, 100%, $E$13)</f>
        <v>16.026700000000002</v>
      </c>
      <c r="J673" s="61">
        <f>11.356 * CHOOSE(CONTROL!$C$19, $C$13, 100%, $E$13)</f>
        <v>11.356</v>
      </c>
      <c r="K673" s="61">
        <f>11.3579 * CHOOSE(CONTROL!$C$19, $C$13, 100%, $E$13)</f>
        <v>11.357900000000001</v>
      </c>
    </row>
    <row r="674" spans="1:11" ht="15">
      <c r="A674" s="13">
        <v>62367</v>
      </c>
      <c r="B674" s="60">
        <f>9.6727 * CHOOSE(CONTROL!$C$19, $C$13, 100%, $E$13)</f>
        <v>9.6727000000000007</v>
      </c>
      <c r="C674" s="60">
        <f>9.6727 * CHOOSE(CONTROL!$C$19, $C$13, 100%, $E$13)</f>
        <v>9.6727000000000007</v>
      </c>
      <c r="D674" s="60">
        <f>9.6879 * CHOOSE(CONTROL!$C$19, $C$13, 100%, $E$13)</f>
        <v>9.6879000000000008</v>
      </c>
      <c r="E674" s="61">
        <f>11.4191 * CHOOSE(CONTROL!$C$19, $C$13, 100%, $E$13)</f>
        <v>11.4191</v>
      </c>
      <c r="F674" s="61">
        <f>11.4191 * CHOOSE(CONTROL!$C$19, $C$13, 100%, $E$13)</f>
        <v>11.4191</v>
      </c>
      <c r="G674" s="61">
        <f>11.4193 * CHOOSE(CONTROL!$C$19, $C$13, 100%, $E$13)</f>
        <v>11.4193</v>
      </c>
      <c r="H674" s="61">
        <f>16.0582* CHOOSE(CONTROL!$C$19, $C$13, 100%, $E$13)</f>
        <v>16.058199999999999</v>
      </c>
      <c r="I674" s="61">
        <f>16.0584 * CHOOSE(CONTROL!$C$19, $C$13, 100%, $E$13)</f>
        <v>16.058399999999999</v>
      </c>
      <c r="J674" s="61">
        <f>11.4191 * CHOOSE(CONTROL!$C$19, $C$13, 100%, $E$13)</f>
        <v>11.4191</v>
      </c>
      <c r="K674" s="61">
        <f>11.4193 * CHOOSE(CONTROL!$C$19, $C$13, 100%, $E$13)</f>
        <v>11.4193</v>
      </c>
    </row>
    <row r="675" spans="1:11" ht="15">
      <c r="A675" s="13">
        <v>62398</v>
      </c>
      <c r="B675" s="60">
        <f>9.6758 * CHOOSE(CONTROL!$C$19, $C$13, 100%, $E$13)</f>
        <v>9.6758000000000006</v>
      </c>
      <c r="C675" s="60">
        <f>9.6758 * CHOOSE(CONTROL!$C$19, $C$13, 100%, $E$13)</f>
        <v>9.6758000000000006</v>
      </c>
      <c r="D675" s="60">
        <f>9.6909 * CHOOSE(CONTROL!$C$19, $C$13, 100%, $E$13)</f>
        <v>9.6908999999999992</v>
      </c>
      <c r="E675" s="61">
        <f>11.4594 * CHOOSE(CONTROL!$C$19, $C$13, 100%, $E$13)</f>
        <v>11.4594</v>
      </c>
      <c r="F675" s="61">
        <f>11.4594 * CHOOSE(CONTROL!$C$19, $C$13, 100%, $E$13)</f>
        <v>11.4594</v>
      </c>
      <c r="G675" s="61">
        <f>11.4596 * CHOOSE(CONTROL!$C$19, $C$13, 100%, $E$13)</f>
        <v>11.4596</v>
      </c>
      <c r="H675" s="61">
        <f>16.0917* CHOOSE(CONTROL!$C$19, $C$13, 100%, $E$13)</f>
        <v>16.091699999999999</v>
      </c>
      <c r="I675" s="61">
        <f>16.0919 * CHOOSE(CONTROL!$C$19, $C$13, 100%, $E$13)</f>
        <v>16.091899999999999</v>
      </c>
      <c r="J675" s="61">
        <f>11.4594 * CHOOSE(CONTROL!$C$19, $C$13, 100%, $E$13)</f>
        <v>11.4594</v>
      </c>
      <c r="K675" s="61">
        <f>11.4596 * CHOOSE(CONTROL!$C$19, $C$13, 100%, $E$13)</f>
        <v>11.4596</v>
      </c>
    </row>
    <row r="676" spans="1:11" ht="15">
      <c r="A676" s="13">
        <v>62428</v>
      </c>
      <c r="B676" s="60">
        <f>9.6758 * CHOOSE(CONTROL!$C$19, $C$13, 100%, $E$13)</f>
        <v>9.6758000000000006</v>
      </c>
      <c r="C676" s="60">
        <f>9.6758 * CHOOSE(CONTROL!$C$19, $C$13, 100%, $E$13)</f>
        <v>9.6758000000000006</v>
      </c>
      <c r="D676" s="60">
        <f>9.6909 * CHOOSE(CONTROL!$C$19, $C$13, 100%, $E$13)</f>
        <v>9.6908999999999992</v>
      </c>
      <c r="E676" s="61">
        <f>11.3639 * CHOOSE(CONTROL!$C$19, $C$13, 100%, $E$13)</f>
        <v>11.363899999999999</v>
      </c>
      <c r="F676" s="61">
        <f>11.3639 * CHOOSE(CONTROL!$C$19, $C$13, 100%, $E$13)</f>
        <v>11.363899999999999</v>
      </c>
      <c r="G676" s="61">
        <f>11.364 * CHOOSE(CONTROL!$C$19, $C$13, 100%, $E$13)</f>
        <v>11.364000000000001</v>
      </c>
      <c r="H676" s="61">
        <f>16.1252* CHOOSE(CONTROL!$C$19, $C$13, 100%, $E$13)</f>
        <v>16.1252</v>
      </c>
      <c r="I676" s="61">
        <f>16.1254 * CHOOSE(CONTROL!$C$19, $C$13, 100%, $E$13)</f>
        <v>16.125399999999999</v>
      </c>
      <c r="J676" s="61">
        <f>11.3639 * CHOOSE(CONTROL!$C$19, $C$13, 100%, $E$13)</f>
        <v>11.363899999999999</v>
      </c>
      <c r="K676" s="61">
        <f>11.364 * CHOOSE(CONTROL!$C$19, $C$13, 100%, $E$13)</f>
        <v>11.364000000000001</v>
      </c>
    </row>
    <row r="677" spans="1:11" ht="15">
      <c r="A677" s="13">
        <v>62459</v>
      </c>
      <c r="B677" s="60">
        <f>9.7104 * CHOOSE(CONTROL!$C$19, $C$13, 100%, $E$13)</f>
        <v>9.7103999999999999</v>
      </c>
      <c r="C677" s="60">
        <f>9.7104 * CHOOSE(CONTROL!$C$19, $C$13, 100%, $E$13)</f>
        <v>9.7103999999999999</v>
      </c>
      <c r="D677" s="60">
        <f>9.7256 * CHOOSE(CONTROL!$C$19, $C$13, 100%, $E$13)</f>
        <v>9.7256</v>
      </c>
      <c r="E677" s="61">
        <f>11.4773 * CHOOSE(CONTROL!$C$19, $C$13, 100%, $E$13)</f>
        <v>11.4773</v>
      </c>
      <c r="F677" s="61">
        <f>11.4773 * CHOOSE(CONTROL!$C$19, $C$13, 100%, $E$13)</f>
        <v>11.4773</v>
      </c>
      <c r="G677" s="61">
        <f>11.4775 * CHOOSE(CONTROL!$C$19, $C$13, 100%, $E$13)</f>
        <v>11.477499999999999</v>
      </c>
      <c r="H677" s="61">
        <f>16.0849* CHOOSE(CONTROL!$C$19, $C$13, 100%, $E$13)</f>
        <v>16.084900000000001</v>
      </c>
      <c r="I677" s="61">
        <f>16.0851 * CHOOSE(CONTROL!$C$19, $C$13, 100%, $E$13)</f>
        <v>16.085100000000001</v>
      </c>
      <c r="J677" s="61">
        <f>11.4773 * CHOOSE(CONTROL!$C$19, $C$13, 100%, $E$13)</f>
        <v>11.4773</v>
      </c>
      <c r="K677" s="61">
        <f>11.4775 * CHOOSE(CONTROL!$C$19, $C$13, 100%, $E$13)</f>
        <v>11.477499999999999</v>
      </c>
    </row>
    <row r="678" spans="1:11" ht="15">
      <c r="A678" s="13">
        <v>62490</v>
      </c>
      <c r="B678" s="60">
        <f>9.7074 * CHOOSE(CONTROL!$C$19, $C$13, 100%, $E$13)</f>
        <v>9.7073999999999998</v>
      </c>
      <c r="C678" s="60">
        <f>9.7074 * CHOOSE(CONTROL!$C$19, $C$13, 100%, $E$13)</f>
        <v>9.7073999999999998</v>
      </c>
      <c r="D678" s="60">
        <f>9.7225 * CHOOSE(CONTROL!$C$19, $C$13, 100%, $E$13)</f>
        <v>9.7225000000000001</v>
      </c>
      <c r="E678" s="61">
        <f>11.2901 * CHOOSE(CONTROL!$C$19, $C$13, 100%, $E$13)</f>
        <v>11.290100000000001</v>
      </c>
      <c r="F678" s="61">
        <f>11.2901 * CHOOSE(CONTROL!$C$19, $C$13, 100%, $E$13)</f>
        <v>11.290100000000001</v>
      </c>
      <c r="G678" s="61">
        <f>11.2903 * CHOOSE(CONTROL!$C$19, $C$13, 100%, $E$13)</f>
        <v>11.2903</v>
      </c>
      <c r="H678" s="61">
        <f>16.1184* CHOOSE(CONTROL!$C$19, $C$13, 100%, $E$13)</f>
        <v>16.118400000000001</v>
      </c>
      <c r="I678" s="61">
        <f>16.1186 * CHOOSE(CONTROL!$C$19, $C$13, 100%, $E$13)</f>
        <v>16.118600000000001</v>
      </c>
      <c r="J678" s="61">
        <f>11.2901 * CHOOSE(CONTROL!$C$19, $C$13, 100%, $E$13)</f>
        <v>11.290100000000001</v>
      </c>
      <c r="K678" s="61">
        <f>11.2903 * CHOOSE(CONTROL!$C$19, $C$13, 100%, $E$13)</f>
        <v>11.2903</v>
      </c>
    </row>
    <row r="679" spans="1:11" ht="15">
      <c r="A679" s="13">
        <v>62518</v>
      </c>
      <c r="B679" s="60">
        <f>9.7043 * CHOOSE(CONTROL!$C$19, $C$13, 100%, $E$13)</f>
        <v>9.7042999999999999</v>
      </c>
      <c r="C679" s="60">
        <f>9.7043 * CHOOSE(CONTROL!$C$19, $C$13, 100%, $E$13)</f>
        <v>9.7042999999999999</v>
      </c>
      <c r="D679" s="60">
        <f>9.7195 * CHOOSE(CONTROL!$C$19, $C$13, 100%, $E$13)</f>
        <v>9.7195</v>
      </c>
      <c r="E679" s="61">
        <f>11.4339 * CHOOSE(CONTROL!$C$19, $C$13, 100%, $E$13)</f>
        <v>11.4339</v>
      </c>
      <c r="F679" s="61">
        <f>11.4339 * CHOOSE(CONTROL!$C$19, $C$13, 100%, $E$13)</f>
        <v>11.4339</v>
      </c>
      <c r="G679" s="61">
        <f>11.4341 * CHOOSE(CONTROL!$C$19, $C$13, 100%, $E$13)</f>
        <v>11.434100000000001</v>
      </c>
      <c r="H679" s="61">
        <f>16.152* CHOOSE(CONTROL!$C$19, $C$13, 100%, $E$13)</f>
        <v>16.152000000000001</v>
      </c>
      <c r="I679" s="61">
        <f>16.1522 * CHOOSE(CONTROL!$C$19, $C$13, 100%, $E$13)</f>
        <v>16.152200000000001</v>
      </c>
      <c r="J679" s="61">
        <f>11.4339 * CHOOSE(CONTROL!$C$19, $C$13, 100%, $E$13)</f>
        <v>11.4339</v>
      </c>
      <c r="K679" s="61">
        <f>11.4341 * CHOOSE(CONTROL!$C$19, $C$13, 100%, $E$13)</f>
        <v>11.434100000000001</v>
      </c>
    </row>
    <row r="680" spans="1:11" ht="15">
      <c r="A680" s="13">
        <v>62549</v>
      </c>
      <c r="B680" s="60">
        <f>9.7076 * CHOOSE(CONTROL!$C$19, $C$13, 100%, $E$13)</f>
        <v>9.7075999999999993</v>
      </c>
      <c r="C680" s="60">
        <f>9.7076 * CHOOSE(CONTROL!$C$19, $C$13, 100%, $E$13)</f>
        <v>9.7075999999999993</v>
      </c>
      <c r="D680" s="60">
        <f>9.7228 * CHOOSE(CONTROL!$C$19, $C$13, 100%, $E$13)</f>
        <v>9.7227999999999994</v>
      </c>
      <c r="E680" s="61">
        <f>11.5864 * CHOOSE(CONTROL!$C$19, $C$13, 100%, $E$13)</f>
        <v>11.586399999999999</v>
      </c>
      <c r="F680" s="61">
        <f>11.5864 * CHOOSE(CONTROL!$C$19, $C$13, 100%, $E$13)</f>
        <v>11.586399999999999</v>
      </c>
      <c r="G680" s="61">
        <f>11.5866 * CHOOSE(CONTROL!$C$19, $C$13, 100%, $E$13)</f>
        <v>11.586600000000001</v>
      </c>
      <c r="H680" s="61">
        <f>16.1856* CHOOSE(CONTROL!$C$19, $C$13, 100%, $E$13)</f>
        <v>16.185600000000001</v>
      </c>
      <c r="I680" s="61">
        <f>16.1858 * CHOOSE(CONTROL!$C$19, $C$13, 100%, $E$13)</f>
        <v>16.1858</v>
      </c>
      <c r="J680" s="61">
        <f>11.5864 * CHOOSE(CONTROL!$C$19, $C$13, 100%, $E$13)</f>
        <v>11.586399999999999</v>
      </c>
      <c r="K680" s="61">
        <f>11.5866 * CHOOSE(CONTROL!$C$19, $C$13, 100%, $E$13)</f>
        <v>11.586600000000001</v>
      </c>
    </row>
    <row r="681" spans="1:11" ht="15">
      <c r="A681" s="13">
        <v>62579</v>
      </c>
      <c r="B681" s="60">
        <f>9.7076 * CHOOSE(CONTROL!$C$19, $C$13, 100%, $E$13)</f>
        <v>9.7075999999999993</v>
      </c>
      <c r="C681" s="60">
        <f>9.7076 * CHOOSE(CONTROL!$C$19, $C$13, 100%, $E$13)</f>
        <v>9.7075999999999993</v>
      </c>
      <c r="D681" s="60">
        <f>9.738 * CHOOSE(CONTROL!$C$19, $C$13, 100%, $E$13)</f>
        <v>9.7379999999999995</v>
      </c>
      <c r="E681" s="61">
        <f>11.6452 * CHOOSE(CONTROL!$C$19, $C$13, 100%, $E$13)</f>
        <v>11.645200000000001</v>
      </c>
      <c r="F681" s="61">
        <f>11.6452 * CHOOSE(CONTROL!$C$19, $C$13, 100%, $E$13)</f>
        <v>11.645200000000001</v>
      </c>
      <c r="G681" s="61">
        <f>11.6471 * CHOOSE(CONTROL!$C$19, $C$13, 100%, $E$13)</f>
        <v>11.6471</v>
      </c>
      <c r="H681" s="61">
        <f>16.2194* CHOOSE(CONTROL!$C$19, $C$13, 100%, $E$13)</f>
        <v>16.2194</v>
      </c>
      <c r="I681" s="61">
        <f>16.2213 * CHOOSE(CONTROL!$C$19, $C$13, 100%, $E$13)</f>
        <v>16.221299999999999</v>
      </c>
      <c r="J681" s="61">
        <f>11.6452 * CHOOSE(CONTROL!$C$19, $C$13, 100%, $E$13)</f>
        <v>11.645200000000001</v>
      </c>
      <c r="K681" s="61">
        <f>11.6471 * CHOOSE(CONTROL!$C$19, $C$13, 100%, $E$13)</f>
        <v>11.6471</v>
      </c>
    </row>
    <row r="682" spans="1:11" ht="15">
      <c r="A682" s="13">
        <v>62610</v>
      </c>
      <c r="B682" s="60">
        <f>9.7137 * CHOOSE(CONTROL!$C$19, $C$13, 100%, $E$13)</f>
        <v>9.7136999999999993</v>
      </c>
      <c r="C682" s="60">
        <f>9.7137 * CHOOSE(CONTROL!$C$19, $C$13, 100%, $E$13)</f>
        <v>9.7136999999999993</v>
      </c>
      <c r="D682" s="60">
        <f>9.744 * CHOOSE(CONTROL!$C$19, $C$13, 100%, $E$13)</f>
        <v>9.7439999999999998</v>
      </c>
      <c r="E682" s="61">
        <f>11.5907 * CHOOSE(CONTROL!$C$19, $C$13, 100%, $E$13)</f>
        <v>11.5907</v>
      </c>
      <c r="F682" s="61">
        <f>11.5907 * CHOOSE(CONTROL!$C$19, $C$13, 100%, $E$13)</f>
        <v>11.5907</v>
      </c>
      <c r="G682" s="61">
        <f>11.5926 * CHOOSE(CONTROL!$C$19, $C$13, 100%, $E$13)</f>
        <v>11.592599999999999</v>
      </c>
      <c r="H682" s="61">
        <f>16.2532* CHOOSE(CONTROL!$C$19, $C$13, 100%, $E$13)</f>
        <v>16.2532</v>
      </c>
      <c r="I682" s="61">
        <f>16.2551 * CHOOSE(CONTROL!$C$19, $C$13, 100%, $E$13)</f>
        <v>16.255099999999999</v>
      </c>
      <c r="J682" s="61">
        <f>11.5907 * CHOOSE(CONTROL!$C$19, $C$13, 100%, $E$13)</f>
        <v>11.5907</v>
      </c>
      <c r="K682" s="61">
        <f>11.5926 * CHOOSE(CONTROL!$C$19, $C$13, 100%, $E$13)</f>
        <v>11.592599999999999</v>
      </c>
    </row>
    <row r="683" spans="1:11" ht="15">
      <c r="A683" s="13">
        <v>62640</v>
      </c>
      <c r="B683" s="60">
        <f>9.8518 * CHOOSE(CONTROL!$C$19, $C$13, 100%, $E$13)</f>
        <v>9.8518000000000008</v>
      </c>
      <c r="C683" s="60">
        <f>9.8518 * CHOOSE(CONTROL!$C$19, $C$13, 100%, $E$13)</f>
        <v>9.8518000000000008</v>
      </c>
      <c r="D683" s="60">
        <f>9.8822 * CHOOSE(CONTROL!$C$19, $C$13, 100%, $E$13)</f>
        <v>9.8821999999999992</v>
      </c>
      <c r="E683" s="61">
        <f>11.8038 * CHOOSE(CONTROL!$C$19, $C$13, 100%, $E$13)</f>
        <v>11.803800000000001</v>
      </c>
      <c r="F683" s="61">
        <f>11.8038 * CHOOSE(CONTROL!$C$19, $C$13, 100%, $E$13)</f>
        <v>11.803800000000001</v>
      </c>
      <c r="G683" s="61">
        <f>11.8057 * CHOOSE(CONTROL!$C$19, $C$13, 100%, $E$13)</f>
        <v>11.8057</v>
      </c>
      <c r="H683" s="61">
        <f>16.287* CHOOSE(CONTROL!$C$19, $C$13, 100%, $E$13)</f>
        <v>16.286999999999999</v>
      </c>
      <c r="I683" s="61">
        <f>16.2889 * CHOOSE(CONTROL!$C$19, $C$13, 100%, $E$13)</f>
        <v>16.288900000000002</v>
      </c>
      <c r="J683" s="61">
        <f>11.8038 * CHOOSE(CONTROL!$C$19, $C$13, 100%, $E$13)</f>
        <v>11.803800000000001</v>
      </c>
      <c r="K683" s="61">
        <f>11.8057 * CHOOSE(CONTROL!$C$19, $C$13, 100%, $E$13)</f>
        <v>11.8057</v>
      </c>
    </row>
    <row r="684" spans="1:11" ht="15">
      <c r="A684" s="13">
        <v>62671</v>
      </c>
      <c r="B684" s="60">
        <f>9.8585 * CHOOSE(CONTROL!$C$19, $C$13, 100%, $E$13)</f>
        <v>9.8584999999999994</v>
      </c>
      <c r="C684" s="60">
        <f>9.8585 * CHOOSE(CONTROL!$C$19, $C$13, 100%, $E$13)</f>
        <v>9.8584999999999994</v>
      </c>
      <c r="D684" s="60">
        <f>9.8889 * CHOOSE(CONTROL!$C$19, $C$13, 100%, $E$13)</f>
        <v>9.8888999999999996</v>
      </c>
      <c r="E684" s="61">
        <f>11.6321 * CHOOSE(CONTROL!$C$19, $C$13, 100%, $E$13)</f>
        <v>11.632099999999999</v>
      </c>
      <c r="F684" s="61">
        <f>11.6321 * CHOOSE(CONTROL!$C$19, $C$13, 100%, $E$13)</f>
        <v>11.632099999999999</v>
      </c>
      <c r="G684" s="61">
        <f>11.634 * CHOOSE(CONTROL!$C$19, $C$13, 100%, $E$13)</f>
        <v>11.634</v>
      </c>
      <c r="H684" s="61">
        <f>16.3209* CHOOSE(CONTROL!$C$19, $C$13, 100%, $E$13)</f>
        <v>16.320900000000002</v>
      </c>
      <c r="I684" s="61">
        <f>16.3228 * CHOOSE(CONTROL!$C$19, $C$13, 100%, $E$13)</f>
        <v>16.322800000000001</v>
      </c>
      <c r="J684" s="61">
        <f>11.6321 * CHOOSE(CONTROL!$C$19, $C$13, 100%, $E$13)</f>
        <v>11.632099999999999</v>
      </c>
      <c r="K684" s="61">
        <f>11.634 * CHOOSE(CONTROL!$C$19, $C$13, 100%, $E$13)</f>
        <v>11.634</v>
      </c>
    </row>
    <row r="685" spans="1:11" ht="15">
      <c r="A685" s="13">
        <v>62702</v>
      </c>
      <c r="B685" s="60">
        <f>9.8555 * CHOOSE(CONTROL!$C$19, $C$13, 100%, $E$13)</f>
        <v>9.8554999999999993</v>
      </c>
      <c r="C685" s="60">
        <f>9.8555 * CHOOSE(CONTROL!$C$19, $C$13, 100%, $E$13)</f>
        <v>9.8554999999999993</v>
      </c>
      <c r="D685" s="60">
        <f>9.8858 * CHOOSE(CONTROL!$C$19, $C$13, 100%, $E$13)</f>
        <v>9.8857999999999997</v>
      </c>
      <c r="E685" s="61">
        <f>11.6104 * CHOOSE(CONTROL!$C$19, $C$13, 100%, $E$13)</f>
        <v>11.6104</v>
      </c>
      <c r="F685" s="61">
        <f>11.6104 * CHOOSE(CONTROL!$C$19, $C$13, 100%, $E$13)</f>
        <v>11.6104</v>
      </c>
      <c r="G685" s="61">
        <f>11.6123 * CHOOSE(CONTROL!$C$19, $C$13, 100%, $E$13)</f>
        <v>11.612299999999999</v>
      </c>
      <c r="H685" s="61">
        <f>16.3549* CHOOSE(CONTROL!$C$19, $C$13, 100%, $E$13)</f>
        <v>16.354900000000001</v>
      </c>
      <c r="I685" s="61">
        <f>16.3569 * CHOOSE(CONTROL!$C$19, $C$13, 100%, $E$13)</f>
        <v>16.3569</v>
      </c>
      <c r="J685" s="61">
        <f>11.6104 * CHOOSE(CONTROL!$C$19, $C$13, 100%, $E$13)</f>
        <v>11.6104</v>
      </c>
      <c r="K685" s="61">
        <f>11.6123 * CHOOSE(CONTROL!$C$19, $C$13, 100%, $E$13)</f>
        <v>11.612299999999999</v>
      </c>
    </row>
    <row r="686" spans="1:11" ht="15">
      <c r="A686" s="13">
        <v>62732</v>
      </c>
      <c r="B686" s="60">
        <f>9.8728 * CHOOSE(CONTROL!$C$19, $C$13, 100%, $E$13)</f>
        <v>9.8727999999999998</v>
      </c>
      <c r="C686" s="60">
        <f>9.8728 * CHOOSE(CONTROL!$C$19, $C$13, 100%, $E$13)</f>
        <v>9.8727999999999998</v>
      </c>
      <c r="D686" s="60">
        <f>9.888 * CHOOSE(CONTROL!$C$19, $C$13, 100%, $E$13)</f>
        <v>9.8879999999999999</v>
      </c>
      <c r="E686" s="61">
        <f>11.6754 * CHOOSE(CONTROL!$C$19, $C$13, 100%, $E$13)</f>
        <v>11.6754</v>
      </c>
      <c r="F686" s="61">
        <f>11.6754 * CHOOSE(CONTROL!$C$19, $C$13, 100%, $E$13)</f>
        <v>11.6754</v>
      </c>
      <c r="G686" s="61">
        <f>11.6755 * CHOOSE(CONTROL!$C$19, $C$13, 100%, $E$13)</f>
        <v>11.6755</v>
      </c>
      <c r="H686" s="61">
        <f>16.389* CHOOSE(CONTROL!$C$19, $C$13, 100%, $E$13)</f>
        <v>16.388999999999999</v>
      </c>
      <c r="I686" s="61">
        <f>16.3892 * CHOOSE(CONTROL!$C$19, $C$13, 100%, $E$13)</f>
        <v>16.389199999999999</v>
      </c>
      <c r="J686" s="61">
        <f>11.6754 * CHOOSE(CONTROL!$C$19, $C$13, 100%, $E$13)</f>
        <v>11.6754</v>
      </c>
      <c r="K686" s="61">
        <f>11.6755 * CHOOSE(CONTROL!$C$19, $C$13, 100%, $E$13)</f>
        <v>11.6755</v>
      </c>
    </row>
    <row r="687" spans="1:11" ht="15">
      <c r="A687" s="13">
        <v>62763</v>
      </c>
      <c r="B687" s="60">
        <f>9.8758 * CHOOSE(CONTROL!$C$19, $C$13, 100%, $E$13)</f>
        <v>9.8757999999999999</v>
      </c>
      <c r="C687" s="60">
        <f>9.8758 * CHOOSE(CONTROL!$C$19, $C$13, 100%, $E$13)</f>
        <v>9.8757999999999999</v>
      </c>
      <c r="D687" s="60">
        <f>9.891 * CHOOSE(CONTROL!$C$19, $C$13, 100%, $E$13)</f>
        <v>9.891</v>
      </c>
      <c r="E687" s="61">
        <f>11.7167 * CHOOSE(CONTROL!$C$19, $C$13, 100%, $E$13)</f>
        <v>11.716699999999999</v>
      </c>
      <c r="F687" s="61">
        <f>11.7167 * CHOOSE(CONTROL!$C$19, $C$13, 100%, $E$13)</f>
        <v>11.716699999999999</v>
      </c>
      <c r="G687" s="61">
        <f>11.7168 * CHOOSE(CONTROL!$C$19, $C$13, 100%, $E$13)</f>
        <v>11.716799999999999</v>
      </c>
      <c r="H687" s="61">
        <f>16.4232* CHOOSE(CONTROL!$C$19, $C$13, 100%, $E$13)</f>
        <v>16.423200000000001</v>
      </c>
      <c r="I687" s="61">
        <f>16.4233 * CHOOSE(CONTROL!$C$19, $C$13, 100%, $E$13)</f>
        <v>16.423300000000001</v>
      </c>
      <c r="J687" s="61">
        <f>11.7167 * CHOOSE(CONTROL!$C$19, $C$13, 100%, $E$13)</f>
        <v>11.716699999999999</v>
      </c>
      <c r="K687" s="61">
        <f>11.7168 * CHOOSE(CONTROL!$C$19, $C$13, 100%, $E$13)</f>
        <v>11.716799999999999</v>
      </c>
    </row>
    <row r="688" spans="1:11" ht="15">
      <c r="A688" s="13">
        <v>62793</v>
      </c>
      <c r="B688" s="60">
        <f>9.8758 * CHOOSE(CONTROL!$C$19, $C$13, 100%, $E$13)</f>
        <v>9.8757999999999999</v>
      </c>
      <c r="C688" s="60">
        <f>9.8758 * CHOOSE(CONTROL!$C$19, $C$13, 100%, $E$13)</f>
        <v>9.8757999999999999</v>
      </c>
      <c r="D688" s="60">
        <f>9.891 * CHOOSE(CONTROL!$C$19, $C$13, 100%, $E$13)</f>
        <v>9.891</v>
      </c>
      <c r="E688" s="61">
        <f>11.6187 * CHOOSE(CONTROL!$C$19, $C$13, 100%, $E$13)</f>
        <v>11.6187</v>
      </c>
      <c r="F688" s="61">
        <f>11.6187 * CHOOSE(CONTROL!$C$19, $C$13, 100%, $E$13)</f>
        <v>11.6187</v>
      </c>
      <c r="G688" s="61">
        <f>11.6189 * CHOOSE(CONTROL!$C$19, $C$13, 100%, $E$13)</f>
        <v>11.6189</v>
      </c>
      <c r="H688" s="61">
        <f>16.4574* CHOOSE(CONTROL!$C$19, $C$13, 100%, $E$13)</f>
        <v>16.4574</v>
      </c>
      <c r="I688" s="61">
        <f>16.4576 * CHOOSE(CONTROL!$C$19, $C$13, 100%, $E$13)</f>
        <v>16.457599999999999</v>
      </c>
      <c r="J688" s="61">
        <f>11.6187 * CHOOSE(CONTROL!$C$19, $C$13, 100%, $E$13)</f>
        <v>11.6187</v>
      </c>
      <c r="K688" s="61">
        <f>11.6189 * CHOOSE(CONTROL!$C$19, $C$13, 100%, $E$13)</f>
        <v>11.6189</v>
      </c>
    </row>
    <row r="689" spans="1:11" ht="15">
      <c r="A689" s="13">
        <v>62824</v>
      </c>
      <c r="B689" s="60">
        <f>9.907 * CHOOSE(CONTROL!$C$19, $C$13, 100%, $E$13)</f>
        <v>9.907</v>
      </c>
      <c r="C689" s="60">
        <f>9.907 * CHOOSE(CONTROL!$C$19, $C$13, 100%, $E$13)</f>
        <v>9.907</v>
      </c>
      <c r="D689" s="60">
        <f>9.9222 * CHOOSE(CONTROL!$C$19, $C$13, 100%, $E$13)</f>
        <v>9.9222000000000001</v>
      </c>
      <c r="E689" s="61">
        <f>11.7292 * CHOOSE(CONTROL!$C$19, $C$13, 100%, $E$13)</f>
        <v>11.729200000000001</v>
      </c>
      <c r="F689" s="61">
        <f>11.7292 * CHOOSE(CONTROL!$C$19, $C$13, 100%, $E$13)</f>
        <v>11.729200000000001</v>
      </c>
      <c r="G689" s="61">
        <f>11.7294 * CHOOSE(CONTROL!$C$19, $C$13, 100%, $E$13)</f>
        <v>11.7294</v>
      </c>
      <c r="H689" s="61">
        <f>16.4096* CHOOSE(CONTROL!$C$19, $C$13, 100%, $E$13)</f>
        <v>16.409600000000001</v>
      </c>
      <c r="I689" s="61">
        <f>16.4097 * CHOOSE(CONTROL!$C$19, $C$13, 100%, $E$13)</f>
        <v>16.409700000000001</v>
      </c>
      <c r="J689" s="61">
        <f>11.7292 * CHOOSE(CONTROL!$C$19, $C$13, 100%, $E$13)</f>
        <v>11.729200000000001</v>
      </c>
      <c r="K689" s="61">
        <f>11.7294 * CHOOSE(CONTROL!$C$19, $C$13, 100%, $E$13)</f>
        <v>11.7294</v>
      </c>
    </row>
    <row r="690" spans="1:11" ht="15">
      <c r="A690" s="13">
        <v>62855</v>
      </c>
      <c r="B690" s="60">
        <f>9.904 * CHOOSE(CONTROL!$C$19, $C$13, 100%, $E$13)</f>
        <v>9.9039999999999999</v>
      </c>
      <c r="C690" s="60">
        <f>9.904 * CHOOSE(CONTROL!$C$19, $C$13, 100%, $E$13)</f>
        <v>9.9039999999999999</v>
      </c>
      <c r="D690" s="60">
        <f>9.9192 * CHOOSE(CONTROL!$C$19, $C$13, 100%, $E$13)</f>
        <v>9.9192</v>
      </c>
      <c r="E690" s="61">
        <f>11.5375 * CHOOSE(CONTROL!$C$19, $C$13, 100%, $E$13)</f>
        <v>11.5375</v>
      </c>
      <c r="F690" s="61">
        <f>11.5375 * CHOOSE(CONTROL!$C$19, $C$13, 100%, $E$13)</f>
        <v>11.5375</v>
      </c>
      <c r="G690" s="61">
        <f>11.5377 * CHOOSE(CONTROL!$C$19, $C$13, 100%, $E$13)</f>
        <v>11.537699999999999</v>
      </c>
      <c r="H690" s="61">
        <f>16.4438* CHOOSE(CONTROL!$C$19, $C$13, 100%, $E$13)</f>
        <v>16.4438</v>
      </c>
      <c r="I690" s="61">
        <f>16.4439 * CHOOSE(CONTROL!$C$19, $C$13, 100%, $E$13)</f>
        <v>16.443899999999999</v>
      </c>
      <c r="J690" s="61">
        <f>11.5375 * CHOOSE(CONTROL!$C$19, $C$13, 100%, $E$13)</f>
        <v>11.5375</v>
      </c>
      <c r="K690" s="61">
        <f>11.5377 * CHOOSE(CONTROL!$C$19, $C$13, 100%, $E$13)</f>
        <v>11.537699999999999</v>
      </c>
    </row>
    <row r="691" spans="1:11" ht="15">
      <c r="A691" s="13">
        <v>62884</v>
      </c>
      <c r="B691" s="60">
        <f>9.9009 * CHOOSE(CONTROL!$C$19, $C$13, 100%, $E$13)</f>
        <v>9.9009</v>
      </c>
      <c r="C691" s="60">
        <f>9.9009 * CHOOSE(CONTROL!$C$19, $C$13, 100%, $E$13)</f>
        <v>9.9009</v>
      </c>
      <c r="D691" s="60">
        <f>9.9161 * CHOOSE(CONTROL!$C$19, $C$13, 100%, $E$13)</f>
        <v>9.9161000000000001</v>
      </c>
      <c r="E691" s="61">
        <f>11.6848 * CHOOSE(CONTROL!$C$19, $C$13, 100%, $E$13)</f>
        <v>11.684799999999999</v>
      </c>
      <c r="F691" s="61">
        <f>11.6848 * CHOOSE(CONTROL!$C$19, $C$13, 100%, $E$13)</f>
        <v>11.684799999999999</v>
      </c>
      <c r="G691" s="61">
        <f>11.685 * CHOOSE(CONTROL!$C$19, $C$13, 100%, $E$13)</f>
        <v>11.685</v>
      </c>
      <c r="H691" s="61">
        <f>16.478* CHOOSE(CONTROL!$C$19, $C$13, 100%, $E$13)</f>
        <v>16.478000000000002</v>
      </c>
      <c r="I691" s="61">
        <f>16.4782 * CHOOSE(CONTROL!$C$19, $C$13, 100%, $E$13)</f>
        <v>16.478200000000001</v>
      </c>
      <c r="J691" s="61">
        <f>11.6848 * CHOOSE(CONTROL!$C$19, $C$13, 100%, $E$13)</f>
        <v>11.684799999999999</v>
      </c>
      <c r="K691" s="61">
        <f>11.685 * CHOOSE(CONTROL!$C$19, $C$13, 100%, $E$13)</f>
        <v>11.685</v>
      </c>
    </row>
    <row r="692" spans="1:11" ht="15">
      <c r="A692" s="13">
        <v>62915</v>
      </c>
      <c r="B692" s="60">
        <f>9.9044 * CHOOSE(CONTROL!$C$19, $C$13, 100%, $E$13)</f>
        <v>9.9044000000000008</v>
      </c>
      <c r="C692" s="60">
        <f>9.9044 * CHOOSE(CONTROL!$C$19, $C$13, 100%, $E$13)</f>
        <v>9.9044000000000008</v>
      </c>
      <c r="D692" s="60">
        <f>9.9196 * CHOOSE(CONTROL!$C$19, $C$13, 100%, $E$13)</f>
        <v>9.9196000000000009</v>
      </c>
      <c r="E692" s="61">
        <f>11.8411 * CHOOSE(CONTROL!$C$19, $C$13, 100%, $E$13)</f>
        <v>11.841100000000001</v>
      </c>
      <c r="F692" s="61">
        <f>11.8411 * CHOOSE(CONTROL!$C$19, $C$13, 100%, $E$13)</f>
        <v>11.841100000000001</v>
      </c>
      <c r="G692" s="61">
        <f>11.8413 * CHOOSE(CONTROL!$C$19, $C$13, 100%, $E$13)</f>
        <v>11.8413</v>
      </c>
      <c r="H692" s="61">
        <f>16.5123* CHOOSE(CONTROL!$C$19, $C$13, 100%, $E$13)</f>
        <v>16.5123</v>
      </c>
      <c r="I692" s="61">
        <f>16.5125 * CHOOSE(CONTROL!$C$19, $C$13, 100%, $E$13)</f>
        <v>16.512499999999999</v>
      </c>
      <c r="J692" s="61">
        <f>11.8411 * CHOOSE(CONTROL!$C$19, $C$13, 100%, $E$13)</f>
        <v>11.841100000000001</v>
      </c>
      <c r="K692" s="61">
        <f>11.8413 * CHOOSE(CONTROL!$C$19, $C$13, 100%, $E$13)</f>
        <v>11.8413</v>
      </c>
    </row>
    <row r="693" spans="1:11" ht="15">
      <c r="A693" s="13">
        <v>62945</v>
      </c>
      <c r="B693" s="60">
        <f>9.9044 * CHOOSE(CONTROL!$C$19, $C$13, 100%, $E$13)</f>
        <v>9.9044000000000008</v>
      </c>
      <c r="C693" s="60">
        <f>9.9044 * CHOOSE(CONTROL!$C$19, $C$13, 100%, $E$13)</f>
        <v>9.9044000000000008</v>
      </c>
      <c r="D693" s="60">
        <f>9.9348 * CHOOSE(CONTROL!$C$19, $C$13, 100%, $E$13)</f>
        <v>9.9347999999999992</v>
      </c>
      <c r="E693" s="61">
        <f>11.9013 * CHOOSE(CONTROL!$C$19, $C$13, 100%, $E$13)</f>
        <v>11.901300000000001</v>
      </c>
      <c r="F693" s="61">
        <f>11.9013 * CHOOSE(CONTROL!$C$19, $C$13, 100%, $E$13)</f>
        <v>11.901300000000001</v>
      </c>
      <c r="G693" s="61">
        <f>11.9032 * CHOOSE(CONTROL!$C$19, $C$13, 100%, $E$13)</f>
        <v>11.9032</v>
      </c>
      <c r="H693" s="61">
        <f>16.5467* CHOOSE(CONTROL!$C$19, $C$13, 100%, $E$13)</f>
        <v>16.546700000000001</v>
      </c>
      <c r="I693" s="61">
        <f>16.5486 * CHOOSE(CONTROL!$C$19, $C$13, 100%, $E$13)</f>
        <v>16.5486</v>
      </c>
      <c r="J693" s="61">
        <f>11.9013 * CHOOSE(CONTROL!$C$19, $C$13, 100%, $E$13)</f>
        <v>11.901300000000001</v>
      </c>
      <c r="K693" s="61">
        <f>11.9032 * CHOOSE(CONTROL!$C$19, $C$13, 100%, $E$13)</f>
        <v>11.9032</v>
      </c>
    </row>
    <row r="694" spans="1:11" ht="15">
      <c r="A694" s="13">
        <v>62976</v>
      </c>
      <c r="B694" s="60">
        <f>9.9105 * CHOOSE(CONTROL!$C$19, $C$13, 100%, $E$13)</f>
        <v>9.9105000000000008</v>
      </c>
      <c r="C694" s="60">
        <f>9.9105 * CHOOSE(CONTROL!$C$19, $C$13, 100%, $E$13)</f>
        <v>9.9105000000000008</v>
      </c>
      <c r="D694" s="60">
        <f>9.9409 * CHOOSE(CONTROL!$C$19, $C$13, 100%, $E$13)</f>
        <v>9.9408999999999992</v>
      </c>
      <c r="E694" s="61">
        <f>11.8453 * CHOOSE(CONTROL!$C$19, $C$13, 100%, $E$13)</f>
        <v>11.8453</v>
      </c>
      <c r="F694" s="61">
        <f>11.8453 * CHOOSE(CONTROL!$C$19, $C$13, 100%, $E$13)</f>
        <v>11.8453</v>
      </c>
      <c r="G694" s="61">
        <f>11.8472 * CHOOSE(CONTROL!$C$19, $C$13, 100%, $E$13)</f>
        <v>11.847200000000001</v>
      </c>
      <c r="H694" s="61">
        <f>16.5812* CHOOSE(CONTROL!$C$19, $C$13, 100%, $E$13)</f>
        <v>16.581199999999999</v>
      </c>
      <c r="I694" s="61">
        <f>16.5831 * CHOOSE(CONTROL!$C$19, $C$13, 100%, $E$13)</f>
        <v>16.583100000000002</v>
      </c>
      <c r="J694" s="61">
        <f>11.8453 * CHOOSE(CONTROL!$C$19, $C$13, 100%, $E$13)</f>
        <v>11.8453</v>
      </c>
      <c r="K694" s="61">
        <f>11.8472 * CHOOSE(CONTROL!$C$19, $C$13, 100%, $E$13)</f>
        <v>11.847200000000001</v>
      </c>
    </row>
    <row r="695" spans="1:11" ht="15">
      <c r="A695" s="13">
        <v>63006</v>
      </c>
      <c r="B695" s="60">
        <f>10.0511 * CHOOSE(CONTROL!$C$19, $C$13, 100%, $E$13)</f>
        <v>10.0511</v>
      </c>
      <c r="C695" s="60">
        <f>10.0511 * CHOOSE(CONTROL!$C$19, $C$13, 100%, $E$13)</f>
        <v>10.0511</v>
      </c>
      <c r="D695" s="60">
        <f>10.0815 * CHOOSE(CONTROL!$C$19, $C$13, 100%, $E$13)</f>
        <v>10.0815</v>
      </c>
      <c r="E695" s="61">
        <f>12.0629 * CHOOSE(CONTROL!$C$19, $C$13, 100%, $E$13)</f>
        <v>12.062900000000001</v>
      </c>
      <c r="F695" s="61">
        <f>12.0629 * CHOOSE(CONTROL!$C$19, $C$13, 100%, $E$13)</f>
        <v>12.062900000000001</v>
      </c>
      <c r="G695" s="61">
        <f>12.0648 * CHOOSE(CONTROL!$C$19, $C$13, 100%, $E$13)</f>
        <v>12.0648</v>
      </c>
      <c r="H695" s="61">
        <f>16.6158* CHOOSE(CONTROL!$C$19, $C$13, 100%, $E$13)</f>
        <v>16.6158</v>
      </c>
      <c r="I695" s="61">
        <f>16.6177 * CHOOSE(CONTROL!$C$19, $C$13, 100%, $E$13)</f>
        <v>16.617699999999999</v>
      </c>
      <c r="J695" s="61">
        <f>12.0629 * CHOOSE(CONTROL!$C$19, $C$13, 100%, $E$13)</f>
        <v>12.062900000000001</v>
      </c>
      <c r="K695" s="61">
        <f>12.0648 * CHOOSE(CONTROL!$C$19, $C$13, 100%, $E$13)</f>
        <v>12.0648</v>
      </c>
    </row>
    <row r="696" spans="1:11" ht="15">
      <c r="A696" s="13">
        <v>63037</v>
      </c>
      <c r="B696" s="60">
        <f>10.0578 * CHOOSE(CONTROL!$C$19, $C$13, 100%, $E$13)</f>
        <v>10.0578</v>
      </c>
      <c r="C696" s="60">
        <f>10.0578 * CHOOSE(CONTROL!$C$19, $C$13, 100%, $E$13)</f>
        <v>10.0578</v>
      </c>
      <c r="D696" s="60">
        <f>10.0882 * CHOOSE(CONTROL!$C$19, $C$13, 100%, $E$13)</f>
        <v>10.088200000000001</v>
      </c>
      <c r="E696" s="61">
        <f>11.887 * CHOOSE(CONTROL!$C$19, $C$13, 100%, $E$13)</f>
        <v>11.887</v>
      </c>
      <c r="F696" s="61">
        <f>11.887 * CHOOSE(CONTROL!$C$19, $C$13, 100%, $E$13)</f>
        <v>11.887</v>
      </c>
      <c r="G696" s="61">
        <f>11.8889 * CHOOSE(CONTROL!$C$19, $C$13, 100%, $E$13)</f>
        <v>11.8889</v>
      </c>
      <c r="H696" s="61">
        <f>16.6504* CHOOSE(CONTROL!$C$19, $C$13, 100%, $E$13)</f>
        <v>16.650400000000001</v>
      </c>
      <c r="I696" s="61">
        <f>16.6523 * CHOOSE(CONTROL!$C$19, $C$13, 100%, $E$13)</f>
        <v>16.6523</v>
      </c>
      <c r="J696" s="61">
        <f>11.887 * CHOOSE(CONTROL!$C$19, $C$13, 100%, $E$13)</f>
        <v>11.887</v>
      </c>
      <c r="K696" s="61">
        <f>11.8889 * CHOOSE(CONTROL!$C$19, $C$13, 100%, $E$13)</f>
        <v>11.8889</v>
      </c>
    </row>
    <row r="697" spans="1:11" ht="15">
      <c r="A697" s="13">
        <v>63068</v>
      </c>
      <c r="B697" s="60">
        <f>10.0548 * CHOOSE(CONTROL!$C$19, $C$13, 100%, $E$13)</f>
        <v>10.0548</v>
      </c>
      <c r="C697" s="60">
        <f>10.0548 * CHOOSE(CONTROL!$C$19, $C$13, 100%, $E$13)</f>
        <v>10.0548</v>
      </c>
      <c r="D697" s="60">
        <f>10.0851 * CHOOSE(CONTROL!$C$19, $C$13, 100%, $E$13)</f>
        <v>10.085100000000001</v>
      </c>
      <c r="E697" s="61">
        <f>11.8648 * CHOOSE(CONTROL!$C$19, $C$13, 100%, $E$13)</f>
        <v>11.864800000000001</v>
      </c>
      <c r="F697" s="61">
        <f>11.8648 * CHOOSE(CONTROL!$C$19, $C$13, 100%, $E$13)</f>
        <v>11.864800000000001</v>
      </c>
      <c r="G697" s="61">
        <f>11.8667 * CHOOSE(CONTROL!$C$19, $C$13, 100%, $E$13)</f>
        <v>11.8667</v>
      </c>
      <c r="H697" s="61">
        <f>16.6851* CHOOSE(CONTROL!$C$19, $C$13, 100%, $E$13)</f>
        <v>16.685099999999998</v>
      </c>
      <c r="I697" s="61">
        <f>16.687 * CHOOSE(CONTROL!$C$19, $C$13, 100%, $E$13)</f>
        <v>16.687000000000001</v>
      </c>
      <c r="J697" s="61">
        <f>11.8648 * CHOOSE(CONTROL!$C$19, $C$13, 100%, $E$13)</f>
        <v>11.864800000000001</v>
      </c>
      <c r="K697" s="61">
        <f>11.8667 * CHOOSE(CONTROL!$C$19, $C$13, 100%, $E$13)</f>
        <v>11.8667</v>
      </c>
    </row>
    <row r="698" spans="1:11" ht="15">
      <c r="A698" s="13">
        <v>63098</v>
      </c>
      <c r="B698" s="60">
        <f>10.0729 * CHOOSE(CONTROL!$C$19, $C$13, 100%, $E$13)</f>
        <v>10.072900000000001</v>
      </c>
      <c r="C698" s="60">
        <f>10.0729 * CHOOSE(CONTROL!$C$19, $C$13, 100%, $E$13)</f>
        <v>10.072900000000001</v>
      </c>
      <c r="D698" s="60">
        <f>10.088 * CHOOSE(CONTROL!$C$19, $C$13, 100%, $E$13)</f>
        <v>10.087999999999999</v>
      </c>
      <c r="E698" s="61">
        <f>11.9316 * CHOOSE(CONTROL!$C$19, $C$13, 100%, $E$13)</f>
        <v>11.9316</v>
      </c>
      <c r="F698" s="61">
        <f>11.9316 * CHOOSE(CONTROL!$C$19, $C$13, 100%, $E$13)</f>
        <v>11.9316</v>
      </c>
      <c r="G698" s="61">
        <f>11.9318 * CHOOSE(CONTROL!$C$19, $C$13, 100%, $E$13)</f>
        <v>11.931800000000001</v>
      </c>
      <c r="H698" s="61">
        <f>16.7198* CHOOSE(CONTROL!$C$19, $C$13, 100%, $E$13)</f>
        <v>16.719799999999999</v>
      </c>
      <c r="I698" s="61">
        <f>16.72 * CHOOSE(CONTROL!$C$19, $C$13, 100%, $E$13)</f>
        <v>16.72</v>
      </c>
      <c r="J698" s="61">
        <f>11.9316 * CHOOSE(CONTROL!$C$19, $C$13, 100%, $E$13)</f>
        <v>11.9316</v>
      </c>
      <c r="K698" s="61">
        <f>11.9318 * CHOOSE(CONTROL!$C$19, $C$13, 100%, $E$13)</f>
        <v>11.931800000000001</v>
      </c>
    </row>
    <row r="699" spans="1:11" ht="15">
      <c r="A699" s="13">
        <v>63129</v>
      </c>
      <c r="B699" s="60">
        <f>10.0759 * CHOOSE(CONTROL!$C$19, $C$13, 100%, $E$13)</f>
        <v>10.075900000000001</v>
      </c>
      <c r="C699" s="60">
        <f>10.0759 * CHOOSE(CONTROL!$C$19, $C$13, 100%, $E$13)</f>
        <v>10.075900000000001</v>
      </c>
      <c r="D699" s="60">
        <f>10.0911 * CHOOSE(CONTROL!$C$19, $C$13, 100%, $E$13)</f>
        <v>10.091100000000001</v>
      </c>
      <c r="E699" s="61">
        <f>11.9739 * CHOOSE(CONTROL!$C$19, $C$13, 100%, $E$13)</f>
        <v>11.9739</v>
      </c>
      <c r="F699" s="61">
        <f>11.9739 * CHOOSE(CONTROL!$C$19, $C$13, 100%, $E$13)</f>
        <v>11.9739</v>
      </c>
      <c r="G699" s="61">
        <f>11.974 * CHOOSE(CONTROL!$C$19, $C$13, 100%, $E$13)</f>
        <v>11.974</v>
      </c>
      <c r="H699" s="61">
        <f>16.7547* CHOOSE(CONTROL!$C$19, $C$13, 100%, $E$13)</f>
        <v>16.7547</v>
      </c>
      <c r="I699" s="61">
        <f>16.7548 * CHOOSE(CONTROL!$C$19, $C$13, 100%, $E$13)</f>
        <v>16.754799999999999</v>
      </c>
      <c r="J699" s="61">
        <f>11.9739 * CHOOSE(CONTROL!$C$19, $C$13, 100%, $E$13)</f>
        <v>11.9739</v>
      </c>
      <c r="K699" s="61">
        <f>11.974 * CHOOSE(CONTROL!$C$19, $C$13, 100%, $E$13)</f>
        <v>11.974</v>
      </c>
    </row>
    <row r="700" spans="1:11" ht="15">
      <c r="A700" s="13">
        <v>63159</v>
      </c>
      <c r="B700" s="60">
        <f>10.0759 * CHOOSE(CONTROL!$C$19, $C$13, 100%, $E$13)</f>
        <v>10.075900000000001</v>
      </c>
      <c r="C700" s="60">
        <f>10.0759 * CHOOSE(CONTROL!$C$19, $C$13, 100%, $E$13)</f>
        <v>10.075900000000001</v>
      </c>
      <c r="D700" s="60">
        <f>10.0911 * CHOOSE(CONTROL!$C$19, $C$13, 100%, $E$13)</f>
        <v>10.091100000000001</v>
      </c>
      <c r="E700" s="61">
        <f>11.8735 * CHOOSE(CONTROL!$C$19, $C$13, 100%, $E$13)</f>
        <v>11.8735</v>
      </c>
      <c r="F700" s="61">
        <f>11.8735 * CHOOSE(CONTROL!$C$19, $C$13, 100%, $E$13)</f>
        <v>11.8735</v>
      </c>
      <c r="G700" s="61">
        <f>11.8737 * CHOOSE(CONTROL!$C$19, $C$13, 100%, $E$13)</f>
        <v>11.873699999999999</v>
      </c>
      <c r="H700" s="61">
        <f>16.7896* CHOOSE(CONTROL!$C$19, $C$13, 100%, $E$13)</f>
        <v>16.7896</v>
      </c>
      <c r="I700" s="61">
        <f>16.7897 * CHOOSE(CONTROL!$C$19, $C$13, 100%, $E$13)</f>
        <v>16.7897</v>
      </c>
      <c r="J700" s="61">
        <f>11.8735 * CHOOSE(CONTROL!$C$19, $C$13, 100%, $E$13)</f>
        <v>11.8735</v>
      </c>
      <c r="K700" s="61">
        <f>11.8737 * CHOOSE(CONTROL!$C$19, $C$13, 100%, $E$13)</f>
        <v>11.873699999999999</v>
      </c>
    </row>
    <row r="701" spans="1:11" ht="15">
      <c r="A701" s="13">
        <v>63190</v>
      </c>
      <c r="B701" s="60">
        <f>10.1036 * CHOOSE(CONTROL!$C$19, $C$13, 100%, $E$13)</f>
        <v>10.1036</v>
      </c>
      <c r="C701" s="60">
        <f>10.1036 * CHOOSE(CONTROL!$C$19, $C$13, 100%, $E$13)</f>
        <v>10.1036</v>
      </c>
      <c r="D701" s="60">
        <f>10.1188 * CHOOSE(CONTROL!$C$19, $C$13, 100%, $E$13)</f>
        <v>10.1188</v>
      </c>
      <c r="E701" s="61">
        <f>11.981 * CHOOSE(CONTROL!$C$19, $C$13, 100%, $E$13)</f>
        <v>11.981</v>
      </c>
      <c r="F701" s="61">
        <f>11.981 * CHOOSE(CONTROL!$C$19, $C$13, 100%, $E$13)</f>
        <v>11.981</v>
      </c>
      <c r="G701" s="61">
        <f>11.9812 * CHOOSE(CONTROL!$C$19, $C$13, 100%, $E$13)</f>
        <v>11.981199999999999</v>
      </c>
      <c r="H701" s="61">
        <f>16.7342* CHOOSE(CONTROL!$C$19, $C$13, 100%, $E$13)</f>
        <v>16.734200000000001</v>
      </c>
      <c r="I701" s="61">
        <f>16.7344 * CHOOSE(CONTROL!$C$19, $C$13, 100%, $E$13)</f>
        <v>16.734400000000001</v>
      </c>
      <c r="J701" s="61">
        <f>11.981 * CHOOSE(CONTROL!$C$19, $C$13, 100%, $E$13)</f>
        <v>11.981</v>
      </c>
      <c r="K701" s="61">
        <f>11.9812 * CHOOSE(CONTROL!$C$19, $C$13, 100%, $E$13)</f>
        <v>11.981199999999999</v>
      </c>
    </row>
    <row r="702" spans="1:11" ht="15">
      <c r="A702" s="13">
        <v>63221</v>
      </c>
      <c r="B702" s="60">
        <f>10.1006 * CHOOSE(CONTROL!$C$19, $C$13, 100%, $E$13)</f>
        <v>10.1006</v>
      </c>
      <c r="C702" s="60">
        <f>10.1006 * CHOOSE(CONTROL!$C$19, $C$13, 100%, $E$13)</f>
        <v>10.1006</v>
      </c>
      <c r="D702" s="60">
        <f>10.1158 * CHOOSE(CONTROL!$C$19, $C$13, 100%, $E$13)</f>
        <v>10.1158</v>
      </c>
      <c r="E702" s="61">
        <f>11.7849 * CHOOSE(CONTROL!$C$19, $C$13, 100%, $E$13)</f>
        <v>11.7849</v>
      </c>
      <c r="F702" s="61">
        <f>11.7849 * CHOOSE(CONTROL!$C$19, $C$13, 100%, $E$13)</f>
        <v>11.7849</v>
      </c>
      <c r="G702" s="61">
        <f>11.785 * CHOOSE(CONTROL!$C$19, $C$13, 100%, $E$13)</f>
        <v>11.785</v>
      </c>
      <c r="H702" s="61">
        <f>16.7691* CHOOSE(CONTROL!$C$19, $C$13, 100%, $E$13)</f>
        <v>16.769100000000002</v>
      </c>
      <c r="I702" s="61">
        <f>16.7693 * CHOOSE(CONTROL!$C$19, $C$13, 100%, $E$13)</f>
        <v>16.769300000000001</v>
      </c>
      <c r="J702" s="61">
        <f>11.7849 * CHOOSE(CONTROL!$C$19, $C$13, 100%, $E$13)</f>
        <v>11.7849</v>
      </c>
      <c r="K702" s="61">
        <f>11.785 * CHOOSE(CONTROL!$C$19, $C$13, 100%, $E$13)</f>
        <v>11.785</v>
      </c>
    </row>
    <row r="703" spans="1:11" ht="15">
      <c r="A703" s="13">
        <v>63249</v>
      </c>
      <c r="B703" s="60">
        <f>10.0976 * CHOOSE(CONTROL!$C$19, $C$13, 100%, $E$13)</f>
        <v>10.0976</v>
      </c>
      <c r="C703" s="60">
        <f>10.0976 * CHOOSE(CONTROL!$C$19, $C$13, 100%, $E$13)</f>
        <v>10.0976</v>
      </c>
      <c r="D703" s="60">
        <f>10.1127 * CHOOSE(CONTROL!$C$19, $C$13, 100%, $E$13)</f>
        <v>10.1127</v>
      </c>
      <c r="E703" s="61">
        <f>11.9357 * CHOOSE(CONTROL!$C$19, $C$13, 100%, $E$13)</f>
        <v>11.935700000000001</v>
      </c>
      <c r="F703" s="61">
        <f>11.9357 * CHOOSE(CONTROL!$C$19, $C$13, 100%, $E$13)</f>
        <v>11.935700000000001</v>
      </c>
      <c r="G703" s="61">
        <f>11.9359 * CHOOSE(CONTROL!$C$19, $C$13, 100%, $E$13)</f>
        <v>11.9359</v>
      </c>
      <c r="H703" s="61">
        <f>16.804* CHOOSE(CONTROL!$C$19, $C$13, 100%, $E$13)</f>
        <v>16.803999999999998</v>
      </c>
      <c r="I703" s="61">
        <f>16.8042 * CHOOSE(CONTROL!$C$19, $C$13, 100%, $E$13)</f>
        <v>16.804200000000002</v>
      </c>
      <c r="J703" s="61">
        <f>11.9357 * CHOOSE(CONTROL!$C$19, $C$13, 100%, $E$13)</f>
        <v>11.935700000000001</v>
      </c>
      <c r="K703" s="61">
        <f>11.9359 * CHOOSE(CONTROL!$C$19, $C$13, 100%, $E$13)</f>
        <v>11.9359</v>
      </c>
    </row>
    <row r="704" spans="1:11" ht="15">
      <c r="A704" s="13">
        <v>63280</v>
      </c>
      <c r="B704" s="60">
        <f>10.1012 * CHOOSE(CONTROL!$C$19, $C$13, 100%, $E$13)</f>
        <v>10.1012</v>
      </c>
      <c r="C704" s="60">
        <f>10.1012 * CHOOSE(CONTROL!$C$19, $C$13, 100%, $E$13)</f>
        <v>10.1012</v>
      </c>
      <c r="D704" s="60">
        <f>10.1164 * CHOOSE(CONTROL!$C$19, $C$13, 100%, $E$13)</f>
        <v>10.116400000000001</v>
      </c>
      <c r="E704" s="61">
        <f>12.0958 * CHOOSE(CONTROL!$C$19, $C$13, 100%, $E$13)</f>
        <v>12.095800000000001</v>
      </c>
      <c r="F704" s="61">
        <f>12.0958 * CHOOSE(CONTROL!$C$19, $C$13, 100%, $E$13)</f>
        <v>12.095800000000001</v>
      </c>
      <c r="G704" s="61">
        <f>12.0959 * CHOOSE(CONTROL!$C$19, $C$13, 100%, $E$13)</f>
        <v>12.0959</v>
      </c>
      <c r="H704" s="61">
        <f>16.839* CHOOSE(CONTROL!$C$19, $C$13, 100%, $E$13)</f>
        <v>16.838999999999999</v>
      </c>
      <c r="I704" s="61">
        <f>16.8392 * CHOOSE(CONTROL!$C$19, $C$13, 100%, $E$13)</f>
        <v>16.839200000000002</v>
      </c>
      <c r="J704" s="61">
        <f>12.0958 * CHOOSE(CONTROL!$C$19, $C$13, 100%, $E$13)</f>
        <v>12.095800000000001</v>
      </c>
      <c r="K704" s="61">
        <f>12.0959 * CHOOSE(CONTROL!$C$19, $C$13, 100%, $E$13)</f>
        <v>12.0959</v>
      </c>
    </row>
    <row r="705" spans="1:11" ht="15">
      <c r="A705" s="13">
        <v>63310</v>
      </c>
      <c r="B705" s="60">
        <f>10.1012 * CHOOSE(CONTROL!$C$19, $C$13, 100%, $E$13)</f>
        <v>10.1012</v>
      </c>
      <c r="C705" s="60">
        <f>10.1012 * CHOOSE(CONTROL!$C$19, $C$13, 100%, $E$13)</f>
        <v>10.1012</v>
      </c>
      <c r="D705" s="60">
        <f>10.1316 * CHOOSE(CONTROL!$C$19, $C$13, 100%, $E$13)</f>
        <v>10.131600000000001</v>
      </c>
      <c r="E705" s="61">
        <f>12.1574 * CHOOSE(CONTROL!$C$19, $C$13, 100%, $E$13)</f>
        <v>12.157400000000001</v>
      </c>
      <c r="F705" s="61">
        <f>12.1574 * CHOOSE(CONTROL!$C$19, $C$13, 100%, $E$13)</f>
        <v>12.157400000000001</v>
      </c>
      <c r="G705" s="61">
        <f>12.1593 * CHOOSE(CONTROL!$C$19, $C$13, 100%, $E$13)</f>
        <v>12.1593</v>
      </c>
      <c r="H705" s="61">
        <f>16.8741* CHOOSE(CONTROL!$C$19, $C$13, 100%, $E$13)</f>
        <v>16.874099999999999</v>
      </c>
      <c r="I705" s="61">
        <f>16.876 * CHOOSE(CONTROL!$C$19, $C$13, 100%, $E$13)</f>
        <v>16.876000000000001</v>
      </c>
      <c r="J705" s="61">
        <f>12.1574 * CHOOSE(CONTROL!$C$19, $C$13, 100%, $E$13)</f>
        <v>12.157400000000001</v>
      </c>
      <c r="K705" s="61">
        <f>12.1593 * CHOOSE(CONTROL!$C$19, $C$13, 100%, $E$13)</f>
        <v>12.1593</v>
      </c>
    </row>
    <row r="706" spans="1:11" ht="15">
      <c r="A706" s="13">
        <v>63341</v>
      </c>
      <c r="B706" s="60">
        <f>10.1073 * CHOOSE(CONTROL!$C$19, $C$13, 100%, $E$13)</f>
        <v>10.1073</v>
      </c>
      <c r="C706" s="60">
        <f>10.1073 * CHOOSE(CONTROL!$C$19, $C$13, 100%, $E$13)</f>
        <v>10.1073</v>
      </c>
      <c r="D706" s="60">
        <f>10.1377 * CHOOSE(CONTROL!$C$19, $C$13, 100%, $E$13)</f>
        <v>10.137700000000001</v>
      </c>
      <c r="E706" s="61">
        <f>12.1 * CHOOSE(CONTROL!$C$19, $C$13, 100%, $E$13)</f>
        <v>12.1</v>
      </c>
      <c r="F706" s="61">
        <f>12.1 * CHOOSE(CONTROL!$C$19, $C$13, 100%, $E$13)</f>
        <v>12.1</v>
      </c>
      <c r="G706" s="61">
        <f>12.1019 * CHOOSE(CONTROL!$C$19, $C$13, 100%, $E$13)</f>
        <v>12.101900000000001</v>
      </c>
      <c r="H706" s="61">
        <f>16.9093* CHOOSE(CONTROL!$C$19, $C$13, 100%, $E$13)</f>
        <v>16.909300000000002</v>
      </c>
      <c r="I706" s="61">
        <f>16.9112 * CHOOSE(CONTROL!$C$19, $C$13, 100%, $E$13)</f>
        <v>16.911200000000001</v>
      </c>
      <c r="J706" s="61">
        <f>12.1 * CHOOSE(CONTROL!$C$19, $C$13, 100%, $E$13)</f>
        <v>12.1</v>
      </c>
      <c r="K706" s="61">
        <f>12.1019 * CHOOSE(CONTROL!$C$19, $C$13, 100%, $E$13)</f>
        <v>12.101900000000001</v>
      </c>
    </row>
    <row r="707" spans="1:11" ht="15">
      <c r="A707" s="13">
        <v>63371</v>
      </c>
      <c r="B707" s="60">
        <f>10.2505 * CHOOSE(CONTROL!$C$19, $C$13, 100%, $E$13)</f>
        <v>10.250500000000001</v>
      </c>
      <c r="C707" s="60">
        <f>10.2505 * CHOOSE(CONTROL!$C$19, $C$13, 100%, $E$13)</f>
        <v>10.250500000000001</v>
      </c>
      <c r="D707" s="60">
        <f>10.2808 * CHOOSE(CONTROL!$C$19, $C$13, 100%, $E$13)</f>
        <v>10.280799999999999</v>
      </c>
      <c r="E707" s="61">
        <f>12.322 * CHOOSE(CONTROL!$C$19, $C$13, 100%, $E$13)</f>
        <v>12.321999999999999</v>
      </c>
      <c r="F707" s="61">
        <f>12.322 * CHOOSE(CONTROL!$C$19, $C$13, 100%, $E$13)</f>
        <v>12.321999999999999</v>
      </c>
      <c r="G707" s="61">
        <f>12.3239 * CHOOSE(CONTROL!$C$19, $C$13, 100%, $E$13)</f>
        <v>12.3239</v>
      </c>
      <c r="H707" s="61">
        <f>16.9445* CHOOSE(CONTROL!$C$19, $C$13, 100%, $E$13)</f>
        <v>16.944500000000001</v>
      </c>
      <c r="I707" s="61">
        <f>16.9464 * CHOOSE(CONTROL!$C$19, $C$13, 100%, $E$13)</f>
        <v>16.946400000000001</v>
      </c>
      <c r="J707" s="61">
        <f>12.322 * CHOOSE(CONTROL!$C$19, $C$13, 100%, $E$13)</f>
        <v>12.321999999999999</v>
      </c>
      <c r="K707" s="61">
        <f>12.3239 * CHOOSE(CONTROL!$C$19, $C$13, 100%, $E$13)</f>
        <v>12.3239</v>
      </c>
    </row>
    <row r="708" spans="1:11" ht="15">
      <c r="A708" s="13">
        <v>63402</v>
      </c>
      <c r="B708" s="60">
        <f>10.2571 * CHOOSE(CONTROL!$C$19, $C$13, 100%, $E$13)</f>
        <v>10.257099999999999</v>
      </c>
      <c r="C708" s="60">
        <f>10.2571 * CHOOSE(CONTROL!$C$19, $C$13, 100%, $E$13)</f>
        <v>10.257099999999999</v>
      </c>
      <c r="D708" s="60">
        <f>10.2875 * CHOOSE(CONTROL!$C$19, $C$13, 100%, $E$13)</f>
        <v>10.2875</v>
      </c>
      <c r="E708" s="61">
        <f>12.1418 * CHOOSE(CONTROL!$C$19, $C$13, 100%, $E$13)</f>
        <v>12.1418</v>
      </c>
      <c r="F708" s="61">
        <f>12.1418 * CHOOSE(CONTROL!$C$19, $C$13, 100%, $E$13)</f>
        <v>12.1418</v>
      </c>
      <c r="G708" s="61">
        <f>12.1437 * CHOOSE(CONTROL!$C$19, $C$13, 100%, $E$13)</f>
        <v>12.143700000000001</v>
      </c>
      <c r="H708" s="61">
        <f>16.9798* CHOOSE(CONTROL!$C$19, $C$13, 100%, $E$13)</f>
        <v>16.979800000000001</v>
      </c>
      <c r="I708" s="61">
        <f>16.9817 * CHOOSE(CONTROL!$C$19, $C$13, 100%, $E$13)</f>
        <v>16.9817</v>
      </c>
      <c r="J708" s="61">
        <f>12.1418 * CHOOSE(CONTROL!$C$19, $C$13, 100%, $E$13)</f>
        <v>12.1418</v>
      </c>
      <c r="K708" s="61">
        <f>12.1437 * CHOOSE(CONTROL!$C$19, $C$13, 100%, $E$13)</f>
        <v>12.143700000000001</v>
      </c>
    </row>
    <row r="709" spans="1:11" ht="15">
      <c r="A709" s="13">
        <v>63433</v>
      </c>
      <c r="B709" s="60">
        <f>10.2541 * CHOOSE(CONTROL!$C$19, $C$13, 100%, $E$13)</f>
        <v>10.254099999999999</v>
      </c>
      <c r="C709" s="60">
        <f>10.2541 * CHOOSE(CONTROL!$C$19, $C$13, 100%, $E$13)</f>
        <v>10.254099999999999</v>
      </c>
      <c r="D709" s="60">
        <f>10.2845 * CHOOSE(CONTROL!$C$19, $C$13, 100%, $E$13)</f>
        <v>10.2845</v>
      </c>
      <c r="E709" s="61">
        <f>12.1192 * CHOOSE(CONTROL!$C$19, $C$13, 100%, $E$13)</f>
        <v>12.119199999999999</v>
      </c>
      <c r="F709" s="61">
        <f>12.1192 * CHOOSE(CONTROL!$C$19, $C$13, 100%, $E$13)</f>
        <v>12.119199999999999</v>
      </c>
      <c r="G709" s="61">
        <f>12.1211 * CHOOSE(CONTROL!$C$19, $C$13, 100%, $E$13)</f>
        <v>12.1211</v>
      </c>
      <c r="H709" s="61">
        <f>17.0152* CHOOSE(CONTROL!$C$19, $C$13, 100%, $E$13)</f>
        <v>17.0152</v>
      </c>
      <c r="I709" s="61">
        <f>17.0171 * CHOOSE(CONTROL!$C$19, $C$13, 100%, $E$13)</f>
        <v>17.017099999999999</v>
      </c>
      <c r="J709" s="61">
        <f>12.1192 * CHOOSE(CONTROL!$C$19, $C$13, 100%, $E$13)</f>
        <v>12.119199999999999</v>
      </c>
      <c r="K709" s="61">
        <f>12.1211 * CHOOSE(CONTROL!$C$19, $C$13, 100%, $E$13)</f>
        <v>12.1211</v>
      </c>
    </row>
    <row r="710" spans="1:11" ht="15">
      <c r="A710" s="13">
        <v>63463</v>
      </c>
      <c r="B710" s="60">
        <f>10.2729 * CHOOSE(CONTROL!$C$19, $C$13, 100%, $E$13)</f>
        <v>10.2729</v>
      </c>
      <c r="C710" s="60">
        <f>10.2729 * CHOOSE(CONTROL!$C$19, $C$13, 100%, $E$13)</f>
        <v>10.2729</v>
      </c>
      <c r="D710" s="60">
        <f>10.2881 * CHOOSE(CONTROL!$C$19, $C$13, 100%, $E$13)</f>
        <v>10.2881</v>
      </c>
      <c r="E710" s="61">
        <f>12.1879 * CHOOSE(CONTROL!$C$19, $C$13, 100%, $E$13)</f>
        <v>12.187900000000001</v>
      </c>
      <c r="F710" s="61">
        <f>12.1879 * CHOOSE(CONTROL!$C$19, $C$13, 100%, $E$13)</f>
        <v>12.187900000000001</v>
      </c>
      <c r="G710" s="61">
        <f>12.1881 * CHOOSE(CONTROL!$C$19, $C$13, 100%, $E$13)</f>
        <v>12.1881</v>
      </c>
      <c r="H710" s="61">
        <f>17.0506* CHOOSE(CONTROL!$C$19, $C$13, 100%, $E$13)</f>
        <v>17.050599999999999</v>
      </c>
      <c r="I710" s="61">
        <f>17.0508 * CHOOSE(CONTROL!$C$19, $C$13, 100%, $E$13)</f>
        <v>17.050799999999999</v>
      </c>
      <c r="J710" s="61">
        <f>12.1879 * CHOOSE(CONTROL!$C$19, $C$13, 100%, $E$13)</f>
        <v>12.187900000000001</v>
      </c>
      <c r="K710" s="61">
        <f>12.1881 * CHOOSE(CONTROL!$C$19, $C$13, 100%, $E$13)</f>
        <v>12.1881</v>
      </c>
    </row>
    <row r="711" spans="1:11" ht="15">
      <c r="A711" s="13">
        <v>63494</v>
      </c>
      <c r="B711" s="60">
        <f>10.276 * CHOOSE(CONTROL!$C$19, $C$13, 100%, $E$13)</f>
        <v>10.276</v>
      </c>
      <c r="C711" s="60">
        <f>10.276 * CHOOSE(CONTROL!$C$19, $C$13, 100%, $E$13)</f>
        <v>10.276</v>
      </c>
      <c r="D711" s="60">
        <f>10.2912 * CHOOSE(CONTROL!$C$19, $C$13, 100%, $E$13)</f>
        <v>10.2912</v>
      </c>
      <c r="E711" s="61">
        <f>12.2311 * CHOOSE(CONTROL!$C$19, $C$13, 100%, $E$13)</f>
        <v>12.2311</v>
      </c>
      <c r="F711" s="61">
        <f>12.2311 * CHOOSE(CONTROL!$C$19, $C$13, 100%, $E$13)</f>
        <v>12.2311</v>
      </c>
      <c r="G711" s="61">
        <f>12.2312 * CHOOSE(CONTROL!$C$19, $C$13, 100%, $E$13)</f>
        <v>12.231199999999999</v>
      </c>
      <c r="H711" s="61">
        <f>17.0861* CHOOSE(CONTROL!$C$19, $C$13, 100%, $E$13)</f>
        <v>17.086099999999998</v>
      </c>
      <c r="I711" s="61">
        <f>17.0863 * CHOOSE(CONTROL!$C$19, $C$13, 100%, $E$13)</f>
        <v>17.086300000000001</v>
      </c>
      <c r="J711" s="61">
        <f>12.2311 * CHOOSE(CONTROL!$C$19, $C$13, 100%, $E$13)</f>
        <v>12.2311</v>
      </c>
      <c r="K711" s="61">
        <f>12.2312 * CHOOSE(CONTROL!$C$19, $C$13, 100%, $E$13)</f>
        <v>12.231199999999999</v>
      </c>
    </row>
    <row r="712" spans="1:11" ht="15">
      <c r="A712" s="13">
        <v>63524</v>
      </c>
      <c r="B712" s="60">
        <f>10.276 * CHOOSE(CONTROL!$C$19, $C$13, 100%, $E$13)</f>
        <v>10.276</v>
      </c>
      <c r="C712" s="60">
        <f>10.276 * CHOOSE(CONTROL!$C$19, $C$13, 100%, $E$13)</f>
        <v>10.276</v>
      </c>
      <c r="D712" s="60">
        <f>10.2912 * CHOOSE(CONTROL!$C$19, $C$13, 100%, $E$13)</f>
        <v>10.2912</v>
      </c>
      <c r="E712" s="61">
        <f>12.1284 * CHOOSE(CONTROL!$C$19, $C$13, 100%, $E$13)</f>
        <v>12.128399999999999</v>
      </c>
      <c r="F712" s="61">
        <f>12.1284 * CHOOSE(CONTROL!$C$19, $C$13, 100%, $E$13)</f>
        <v>12.128399999999999</v>
      </c>
      <c r="G712" s="61">
        <f>12.1286 * CHOOSE(CONTROL!$C$19, $C$13, 100%, $E$13)</f>
        <v>12.1286</v>
      </c>
      <c r="H712" s="61">
        <f>17.1217* CHOOSE(CONTROL!$C$19, $C$13, 100%, $E$13)</f>
        <v>17.121700000000001</v>
      </c>
      <c r="I712" s="61">
        <f>17.1219 * CHOOSE(CONTROL!$C$19, $C$13, 100%, $E$13)</f>
        <v>17.1219</v>
      </c>
      <c r="J712" s="61">
        <f>12.1284 * CHOOSE(CONTROL!$C$19, $C$13, 100%, $E$13)</f>
        <v>12.128399999999999</v>
      </c>
      <c r="K712" s="61">
        <f>12.1286 * CHOOSE(CONTROL!$C$19, $C$13, 100%, $E$13)</f>
        <v>12.1286</v>
      </c>
    </row>
    <row r="713" spans="1:11" ht="15">
      <c r="A713" s="13">
        <v>63555</v>
      </c>
      <c r="B713" s="60">
        <f>10.3002 * CHOOSE(CONTROL!$C$19, $C$13, 100%, $E$13)</f>
        <v>10.3002</v>
      </c>
      <c r="C713" s="60">
        <f>10.3002 * CHOOSE(CONTROL!$C$19, $C$13, 100%, $E$13)</f>
        <v>10.3002</v>
      </c>
      <c r="D713" s="60">
        <f>10.3154 * CHOOSE(CONTROL!$C$19, $C$13, 100%, $E$13)</f>
        <v>10.3154</v>
      </c>
      <c r="E713" s="61">
        <f>12.2329 * CHOOSE(CONTROL!$C$19, $C$13, 100%, $E$13)</f>
        <v>12.232900000000001</v>
      </c>
      <c r="F713" s="61">
        <f>12.2329 * CHOOSE(CONTROL!$C$19, $C$13, 100%, $E$13)</f>
        <v>12.232900000000001</v>
      </c>
      <c r="G713" s="61">
        <f>12.233 * CHOOSE(CONTROL!$C$19, $C$13, 100%, $E$13)</f>
        <v>12.233000000000001</v>
      </c>
      <c r="H713" s="61">
        <f>17.0589* CHOOSE(CONTROL!$C$19, $C$13, 100%, $E$13)</f>
        <v>17.058900000000001</v>
      </c>
      <c r="I713" s="61">
        <f>17.0591 * CHOOSE(CONTROL!$C$19, $C$13, 100%, $E$13)</f>
        <v>17.059100000000001</v>
      </c>
      <c r="J713" s="61">
        <f>12.2329 * CHOOSE(CONTROL!$C$19, $C$13, 100%, $E$13)</f>
        <v>12.232900000000001</v>
      </c>
      <c r="K713" s="61">
        <f>12.233 * CHOOSE(CONTROL!$C$19, $C$13, 100%, $E$13)</f>
        <v>12.233000000000001</v>
      </c>
    </row>
    <row r="714" spans="1:11" ht="15">
      <c r="A714" s="13">
        <v>63586</v>
      </c>
      <c r="B714" s="60">
        <f>10.2972 * CHOOSE(CONTROL!$C$19, $C$13, 100%, $E$13)</f>
        <v>10.2972</v>
      </c>
      <c r="C714" s="60">
        <f>10.2972 * CHOOSE(CONTROL!$C$19, $C$13, 100%, $E$13)</f>
        <v>10.2972</v>
      </c>
      <c r="D714" s="60">
        <f>10.3124 * CHOOSE(CONTROL!$C$19, $C$13, 100%, $E$13)</f>
        <v>10.3124</v>
      </c>
      <c r="E714" s="61">
        <f>12.0322 * CHOOSE(CONTROL!$C$19, $C$13, 100%, $E$13)</f>
        <v>12.0322</v>
      </c>
      <c r="F714" s="61">
        <f>12.0322 * CHOOSE(CONTROL!$C$19, $C$13, 100%, $E$13)</f>
        <v>12.0322</v>
      </c>
      <c r="G714" s="61">
        <f>12.0324 * CHOOSE(CONTROL!$C$19, $C$13, 100%, $E$13)</f>
        <v>12.032400000000001</v>
      </c>
      <c r="H714" s="61">
        <f>17.0944* CHOOSE(CONTROL!$C$19, $C$13, 100%, $E$13)</f>
        <v>17.0944</v>
      </c>
      <c r="I714" s="61">
        <f>17.0946 * CHOOSE(CONTROL!$C$19, $C$13, 100%, $E$13)</f>
        <v>17.0946</v>
      </c>
      <c r="J714" s="61">
        <f>12.0322 * CHOOSE(CONTROL!$C$19, $C$13, 100%, $E$13)</f>
        <v>12.0322</v>
      </c>
      <c r="K714" s="61">
        <f>12.0324 * CHOOSE(CONTROL!$C$19, $C$13, 100%, $E$13)</f>
        <v>12.032400000000001</v>
      </c>
    </row>
    <row r="715" spans="1:11" ht="15">
      <c r="A715" s="13">
        <v>63614</v>
      </c>
      <c r="B715" s="60">
        <f>10.2942 * CHOOSE(CONTROL!$C$19, $C$13, 100%, $E$13)</f>
        <v>10.2942</v>
      </c>
      <c r="C715" s="60">
        <f>10.2942 * CHOOSE(CONTROL!$C$19, $C$13, 100%, $E$13)</f>
        <v>10.2942</v>
      </c>
      <c r="D715" s="60">
        <f>10.3094 * CHOOSE(CONTROL!$C$19, $C$13, 100%, $E$13)</f>
        <v>10.3094</v>
      </c>
      <c r="E715" s="61">
        <f>12.1866 * CHOOSE(CONTROL!$C$19, $C$13, 100%, $E$13)</f>
        <v>12.1866</v>
      </c>
      <c r="F715" s="61">
        <f>12.1866 * CHOOSE(CONTROL!$C$19, $C$13, 100%, $E$13)</f>
        <v>12.1866</v>
      </c>
      <c r="G715" s="61">
        <f>12.1868 * CHOOSE(CONTROL!$C$19, $C$13, 100%, $E$13)</f>
        <v>12.1868</v>
      </c>
      <c r="H715" s="61">
        <f>17.13* CHOOSE(CONTROL!$C$19, $C$13, 100%, $E$13)</f>
        <v>17.13</v>
      </c>
      <c r="I715" s="61">
        <f>17.1302 * CHOOSE(CONTROL!$C$19, $C$13, 100%, $E$13)</f>
        <v>17.130199999999999</v>
      </c>
      <c r="J715" s="61">
        <f>12.1866 * CHOOSE(CONTROL!$C$19, $C$13, 100%, $E$13)</f>
        <v>12.1866</v>
      </c>
      <c r="K715" s="61">
        <f>12.1868 * CHOOSE(CONTROL!$C$19, $C$13, 100%, $E$13)</f>
        <v>12.1868</v>
      </c>
    </row>
    <row r="716" spans="1:11" ht="15">
      <c r="A716" s="13">
        <v>63645</v>
      </c>
      <c r="B716" s="60">
        <f>10.298 * CHOOSE(CONTROL!$C$19, $C$13, 100%, $E$13)</f>
        <v>10.298</v>
      </c>
      <c r="C716" s="60">
        <f>10.298 * CHOOSE(CONTROL!$C$19, $C$13, 100%, $E$13)</f>
        <v>10.298</v>
      </c>
      <c r="D716" s="60">
        <f>10.3132 * CHOOSE(CONTROL!$C$19, $C$13, 100%, $E$13)</f>
        <v>10.3132</v>
      </c>
      <c r="E716" s="61">
        <f>12.3504 * CHOOSE(CONTROL!$C$19, $C$13, 100%, $E$13)</f>
        <v>12.3504</v>
      </c>
      <c r="F716" s="61">
        <f>12.3504 * CHOOSE(CONTROL!$C$19, $C$13, 100%, $E$13)</f>
        <v>12.3504</v>
      </c>
      <c r="G716" s="61">
        <f>12.3506 * CHOOSE(CONTROL!$C$19, $C$13, 100%, $E$13)</f>
        <v>12.3506</v>
      </c>
      <c r="H716" s="61">
        <f>17.1657* CHOOSE(CONTROL!$C$19, $C$13, 100%, $E$13)</f>
        <v>17.165700000000001</v>
      </c>
      <c r="I716" s="61">
        <f>17.1659 * CHOOSE(CONTROL!$C$19, $C$13, 100%, $E$13)</f>
        <v>17.165900000000001</v>
      </c>
      <c r="J716" s="61">
        <f>12.3504 * CHOOSE(CONTROL!$C$19, $C$13, 100%, $E$13)</f>
        <v>12.3504</v>
      </c>
      <c r="K716" s="61">
        <f>12.3506 * CHOOSE(CONTROL!$C$19, $C$13, 100%, $E$13)</f>
        <v>12.3506</v>
      </c>
    </row>
    <row r="717" spans="1:11" ht="15">
      <c r="A717" s="13">
        <v>63675</v>
      </c>
      <c r="B717" s="60">
        <f>10.298 * CHOOSE(CONTROL!$C$19, $C$13, 100%, $E$13)</f>
        <v>10.298</v>
      </c>
      <c r="C717" s="60">
        <f>10.298 * CHOOSE(CONTROL!$C$19, $C$13, 100%, $E$13)</f>
        <v>10.298</v>
      </c>
      <c r="D717" s="60">
        <f>10.3284 * CHOOSE(CONTROL!$C$19, $C$13, 100%, $E$13)</f>
        <v>10.3284</v>
      </c>
      <c r="E717" s="61">
        <f>12.4135 * CHOOSE(CONTROL!$C$19, $C$13, 100%, $E$13)</f>
        <v>12.413500000000001</v>
      </c>
      <c r="F717" s="61">
        <f>12.4135 * CHOOSE(CONTROL!$C$19, $C$13, 100%, $E$13)</f>
        <v>12.413500000000001</v>
      </c>
      <c r="G717" s="61">
        <f>12.4154 * CHOOSE(CONTROL!$C$19, $C$13, 100%, $E$13)</f>
        <v>12.4154</v>
      </c>
      <c r="H717" s="61">
        <f>17.2015* CHOOSE(CONTROL!$C$19, $C$13, 100%, $E$13)</f>
        <v>17.201499999999999</v>
      </c>
      <c r="I717" s="61">
        <f>17.2034 * CHOOSE(CONTROL!$C$19, $C$13, 100%, $E$13)</f>
        <v>17.203399999999998</v>
      </c>
      <c r="J717" s="61">
        <f>12.4135 * CHOOSE(CONTROL!$C$19, $C$13, 100%, $E$13)</f>
        <v>12.413500000000001</v>
      </c>
      <c r="K717" s="61">
        <f>12.4154 * CHOOSE(CONTROL!$C$19, $C$13, 100%, $E$13)</f>
        <v>12.4154</v>
      </c>
    </row>
    <row r="718" spans="1:11" ht="15">
      <c r="A718" s="13">
        <v>63706</v>
      </c>
      <c r="B718" s="60">
        <f>10.3041 * CHOOSE(CONTROL!$C$19, $C$13, 100%, $E$13)</f>
        <v>10.3041</v>
      </c>
      <c r="C718" s="60">
        <f>10.3041 * CHOOSE(CONTROL!$C$19, $C$13, 100%, $E$13)</f>
        <v>10.3041</v>
      </c>
      <c r="D718" s="60">
        <f>10.3345 * CHOOSE(CONTROL!$C$19, $C$13, 100%, $E$13)</f>
        <v>10.3345</v>
      </c>
      <c r="E718" s="61">
        <f>12.3547 * CHOOSE(CONTROL!$C$19, $C$13, 100%, $E$13)</f>
        <v>12.354699999999999</v>
      </c>
      <c r="F718" s="61">
        <f>12.3547 * CHOOSE(CONTROL!$C$19, $C$13, 100%, $E$13)</f>
        <v>12.354699999999999</v>
      </c>
      <c r="G718" s="61">
        <f>12.3566 * CHOOSE(CONTROL!$C$19, $C$13, 100%, $E$13)</f>
        <v>12.3566</v>
      </c>
      <c r="H718" s="61">
        <f>17.2373* CHOOSE(CONTROL!$C$19, $C$13, 100%, $E$13)</f>
        <v>17.237300000000001</v>
      </c>
      <c r="I718" s="61">
        <f>17.2392 * CHOOSE(CONTROL!$C$19, $C$13, 100%, $E$13)</f>
        <v>17.2392</v>
      </c>
      <c r="J718" s="61">
        <f>12.3547 * CHOOSE(CONTROL!$C$19, $C$13, 100%, $E$13)</f>
        <v>12.354699999999999</v>
      </c>
      <c r="K718" s="61">
        <f>12.3566 * CHOOSE(CONTROL!$C$19, $C$13, 100%, $E$13)</f>
        <v>12.3566</v>
      </c>
    </row>
    <row r="719" spans="1:11" ht="15">
      <c r="A719" s="13">
        <v>63736</v>
      </c>
      <c r="B719" s="60">
        <f>10.4498 * CHOOSE(CONTROL!$C$19, $C$13, 100%, $E$13)</f>
        <v>10.4498</v>
      </c>
      <c r="C719" s="60">
        <f>10.4498 * CHOOSE(CONTROL!$C$19, $C$13, 100%, $E$13)</f>
        <v>10.4498</v>
      </c>
      <c r="D719" s="60">
        <f>10.4801 * CHOOSE(CONTROL!$C$19, $C$13, 100%, $E$13)</f>
        <v>10.4801</v>
      </c>
      <c r="E719" s="61">
        <f>12.5811 * CHOOSE(CONTROL!$C$19, $C$13, 100%, $E$13)</f>
        <v>12.581099999999999</v>
      </c>
      <c r="F719" s="61">
        <f>12.5811 * CHOOSE(CONTROL!$C$19, $C$13, 100%, $E$13)</f>
        <v>12.581099999999999</v>
      </c>
      <c r="G719" s="61">
        <f>12.583 * CHOOSE(CONTROL!$C$19, $C$13, 100%, $E$13)</f>
        <v>12.583</v>
      </c>
      <c r="H719" s="61">
        <f>17.2732* CHOOSE(CONTROL!$C$19, $C$13, 100%, $E$13)</f>
        <v>17.273199999999999</v>
      </c>
      <c r="I719" s="61">
        <f>17.2751 * CHOOSE(CONTROL!$C$19, $C$13, 100%, $E$13)</f>
        <v>17.275099999999998</v>
      </c>
      <c r="J719" s="61">
        <f>12.5811 * CHOOSE(CONTROL!$C$19, $C$13, 100%, $E$13)</f>
        <v>12.581099999999999</v>
      </c>
      <c r="K719" s="61">
        <f>12.583 * CHOOSE(CONTROL!$C$19, $C$13, 100%, $E$13)</f>
        <v>12.583</v>
      </c>
    </row>
    <row r="720" spans="1:11" ht="15">
      <c r="A720" s="13">
        <v>63767</v>
      </c>
      <c r="B720" s="60">
        <f>10.4565 * CHOOSE(CONTROL!$C$19, $C$13, 100%, $E$13)</f>
        <v>10.4565</v>
      </c>
      <c r="C720" s="60">
        <f>10.4565 * CHOOSE(CONTROL!$C$19, $C$13, 100%, $E$13)</f>
        <v>10.4565</v>
      </c>
      <c r="D720" s="60">
        <f>10.4868 * CHOOSE(CONTROL!$C$19, $C$13, 100%, $E$13)</f>
        <v>10.486800000000001</v>
      </c>
      <c r="E720" s="61">
        <f>12.3967 * CHOOSE(CONTROL!$C$19, $C$13, 100%, $E$13)</f>
        <v>12.396699999999999</v>
      </c>
      <c r="F720" s="61">
        <f>12.3967 * CHOOSE(CONTROL!$C$19, $C$13, 100%, $E$13)</f>
        <v>12.396699999999999</v>
      </c>
      <c r="G720" s="61">
        <f>12.3986 * CHOOSE(CONTROL!$C$19, $C$13, 100%, $E$13)</f>
        <v>12.3986</v>
      </c>
      <c r="H720" s="61">
        <f>17.3092* CHOOSE(CONTROL!$C$19, $C$13, 100%, $E$13)</f>
        <v>17.309200000000001</v>
      </c>
      <c r="I720" s="61">
        <f>17.3111 * CHOOSE(CONTROL!$C$19, $C$13, 100%, $E$13)</f>
        <v>17.3111</v>
      </c>
      <c r="J720" s="61">
        <f>12.3967 * CHOOSE(CONTROL!$C$19, $C$13, 100%, $E$13)</f>
        <v>12.396699999999999</v>
      </c>
      <c r="K720" s="61">
        <f>12.3986 * CHOOSE(CONTROL!$C$19, $C$13, 100%, $E$13)</f>
        <v>12.3986</v>
      </c>
    </row>
    <row r="721" spans="1:11" ht="15">
      <c r="A721" s="13">
        <v>63798</v>
      </c>
      <c r="B721" s="60">
        <f>10.4534 * CHOOSE(CONTROL!$C$19, $C$13, 100%, $E$13)</f>
        <v>10.4534</v>
      </c>
      <c r="C721" s="60">
        <f>10.4534 * CHOOSE(CONTROL!$C$19, $C$13, 100%, $E$13)</f>
        <v>10.4534</v>
      </c>
      <c r="D721" s="60">
        <f>10.4838 * CHOOSE(CONTROL!$C$19, $C$13, 100%, $E$13)</f>
        <v>10.4838</v>
      </c>
      <c r="E721" s="61">
        <f>12.3735 * CHOOSE(CONTROL!$C$19, $C$13, 100%, $E$13)</f>
        <v>12.3735</v>
      </c>
      <c r="F721" s="61">
        <f>12.3735 * CHOOSE(CONTROL!$C$19, $C$13, 100%, $E$13)</f>
        <v>12.3735</v>
      </c>
      <c r="G721" s="61">
        <f>12.3754 * CHOOSE(CONTROL!$C$19, $C$13, 100%, $E$13)</f>
        <v>12.375400000000001</v>
      </c>
      <c r="H721" s="61">
        <f>17.3453* CHOOSE(CONTROL!$C$19, $C$13, 100%, $E$13)</f>
        <v>17.345300000000002</v>
      </c>
      <c r="I721" s="61">
        <f>17.3472 * CHOOSE(CONTROL!$C$19, $C$13, 100%, $E$13)</f>
        <v>17.347200000000001</v>
      </c>
      <c r="J721" s="61">
        <f>12.3735 * CHOOSE(CONTROL!$C$19, $C$13, 100%, $E$13)</f>
        <v>12.3735</v>
      </c>
      <c r="K721" s="61">
        <f>12.3754 * CHOOSE(CONTROL!$C$19, $C$13, 100%, $E$13)</f>
        <v>12.375400000000001</v>
      </c>
    </row>
    <row r="722" spans="1:11" ht="15">
      <c r="A722" s="13">
        <v>63828</v>
      </c>
      <c r="B722" s="60">
        <f>10.473 * CHOOSE(CONTROL!$C$19, $C$13, 100%, $E$13)</f>
        <v>10.473000000000001</v>
      </c>
      <c r="C722" s="60">
        <f>10.473 * CHOOSE(CONTROL!$C$19, $C$13, 100%, $E$13)</f>
        <v>10.473000000000001</v>
      </c>
      <c r="D722" s="60">
        <f>10.4882 * CHOOSE(CONTROL!$C$19, $C$13, 100%, $E$13)</f>
        <v>10.488200000000001</v>
      </c>
      <c r="E722" s="61">
        <f>12.4441 * CHOOSE(CONTROL!$C$19, $C$13, 100%, $E$13)</f>
        <v>12.444100000000001</v>
      </c>
      <c r="F722" s="61">
        <f>12.4441 * CHOOSE(CONTROL!$C$19, $C$13, 100%, $E$13)</f>
        <v>12.444100000000001</v>
      </c>
      <c r="G722" s="61">
        <f>12.4443 * CHOOSE(CONTROL!$C$19, $C$13, 100%, $E$13)</f>
        <v>12.4443</v>
      </c>
      <c r="H722" s="61">
        <f>17.3814* CHOOSE(CONTROL!$C$19, $C$13, 100%, $E$13)</f>
        <v>17.381399999999999</v>
      </c>
      <c r="I722" s="61">
        <f>17.3816 * CHOOSE(CONTROL!$C$19, $C$13, 100%, $E$13)</f>
        <v>17.381599999999999</v>
      </c>
      <c r="J722" s="61">
        <f>12.4441 * CHOOSE(CONTROL!$C$19, $C$13, 100%, $E$13)</f>
        <v>12.444100000000001</v>
      </c>
      <c r="K722" s="61">
        <f>12.4443 * CHOOSE(CONTROL!$C$19, $C$13, 100%, $E$13)</f>
        <v>12.4443</v>
      </c>
    </row>
    <row r="723" spans="1:11" ht="15">
      <c r="A723" s="13">
        <v>63859</v>
      </c>
      <c r="B723" s="60">
        <f>10.476 * CHOOSE(CONTROL!$C$19, $C$13, 100%, $E$13)</f>
        <v>10.476000000000001</v>
      </c>
      <c r="C723" s="60">
        <f>10.476 * CHOOSE(CONTROL!$C$19, $C$13, 100%, $E$13)</f>
        <v>10.476000000000001</v>
      </c>
      <c r="D723" s="60">
        <f>10.4912 * CHOOSE(CONTROL!$C$19, $C$13, 100%, $E$13)</f>
        <v>10.491199999999999</v>
      </c>
      <c r="E723" s="61">
        <f>12.4883 * CHOOSE(CONTROL!$C$19, $C$13, 100%, $E$13)</f>
        <v>12.488300000000001</v>
      </c>
      <c r="F723" s="61">
        <f>12.4883 * CHOOSE(CONTROL!$C$19, $C$13, 100%, $E$13)</f>
        <v>12.488300000000001</v>
      </c>
      <c r="G723" s="61">
        <f>12.4885 * CHOOSE(CONTROL!$C$19, $C$13, 100%, $E$13)</f>
        <v>12.4885</v>
      </c>
      <c r="H723" s="61">
        <f>17.4176* CHOOSE(CONTROL!$C$19, $C$13, 100%, $E$13)</f>
        <v>17.4176</v>
      </c>
      <c r="I723" s="61">
        <f>17.4178 * CHOOSE(CONTROL!$C$19, $C$13, 100%, $E$13)</f>
        <v>17.4178</v>
      </c>
      <c r="J723" s="61">
        <f>12.4883 * CHOOSE(CONTROL!$C$19, $C$13, 100%, $E$13)</f>
        <v>12.488300000000001</v>
      </c>
      <c r="K723" s="61">
        <f>12.4885 * CHOOSE(CONTROL!$C$19, $C$13, 100%, $E$13)</f>
        <v>12.4885</v>
      </c>
    </row>
    <row r="724" spans="1:11" ht="15">
      <c r="A724" s="13">
        <v>63889</v>
      </c>
      <c r="B724" s="60">
        <f>10.476 * CHOOSE(CONTROL!$C$19, $C$13, 100%, $E$13)</f>
        <v>10.476000000000001</v>
      </c>
      <c r="C724" s="60">
        <f>10.476 * CHOOSE(CONTROL!$C$19, $C$13, 100%, $E$13)</f>
        <v>10.476000000000001</v>
      </c>
      <c r="D724" s="60">
        <f>10.4912 * CHOOSE(CONTROL!$C$19, $C$13, 100%, $E$13)</f>
        <v>10.491199999999999</v>
      </c>
      <c r="E724" s="61">
        <f>12.3832 * CHOOSE(CONTROL!$C$19, $C$13, 100%, $E$13)</f>
        <v>12.3832</v>
      </c>
      <c r="F724" s="61">
        <f>12.3832 * CHOOSE(CONTROL!$C$19, $C$13, 100%, $E$13)</f>
        <v>12.3832</v>
      </c>
      <c r="G724" s="61">
        <f>12.3834 * CHOOSE(CONTROL!$C$19, $C$13, 100%, $E$13)</f>
        <v>12.3834</v>
      </c>
      <c r="H724" s="61">
        <f>17.4539* CHOOSE(CONTROL!$C$19, $C$13, 100%, $E$13)</f>
        <v>17.453900000000001</v>
      </c>
      <c r="I724" s="61">
        <f>17.4541 * CHOOSE(CONTROL!$C$19, $C$13, 100%, $E$13)</f>
        <v>17.4541</v>
      </c>
      <c r="J724" s="61">
        <f>12.3832 * CHOOSE(CONTROL!$C$19, $C$13, 100%, $E$13)</f>
        <v>12.3832</v>
      </c>
      <c r="K724" s="61">
        <f>12.3834 * CHOOSE(CONTROL!$C$19, $C$13, 100%, $E$13)</f>
        <v>12.3834</v>
      </c>
    </row>
    <row r="725" spans="1:11" ht="15">
      <c r="A725" s="13">
        <v>63920</v>
      </c>
      <c r="B725" s="60">
        <f>10.4969 * CHOOSE(CONTROL!$C$19, $C$13, 100%, $E$13)</f>
        <v>10.4969</v>
      </c>
      <c r="C725" s="60">
        <f>10.4969 * CHOOSE(CONTROL!$C$19, $C$13, 100%, $E$13)</f>
        <v>10.4969</v>
      </c>
      <c r="D725" s="60">
        <f>10.5121 * CHOOSE(CONTROL!$C$19, $C$13, 100%, $E$13)</f>
        <v>10.5121</v>
      </c>
      <c r="E725" s="61">
        <f>12.4847 * CHOOSE(CONTROL!$C$19, $C$13, 100%, $E$13)</f>
        <v>12.4847</v>
      </c>
      <c r="F725" s="61">
        <f>12.4847 * CHOOSE(CONTROL!$C$19, $C$13, 100%, $E$13)</f>
        <v>12.4847</v>
      </c>
      <c r="G725" s="61">
        <f>12.4849 * CHOOSE(CONTROL!$C$19, $C$13, 100%, $E$13)</f>
        <v>12.4849</v>
      </c>
      <c r="H725" s="61">
        <f>17.3835* CHOOSE(CONTROL!$C$19, $C$13, 100%, $E$13)</f>
        <v>17.383500000000002</v>
      </c>
      <c r="I725" s="61">
        <f>17.3837 * CHOOSE(CONTROL!$C$19, $C$13, 100%, $E$13)</f>
        <v>17.383700000000001</v>
      </c>
      <c r="J725" s="61">
        <f>12.4847 * CHOOSE(CONTROL!$C$19, $C$13, 100%, $E$13)</f>
        <v>12.4847</v>
      </c>
      <c r="K725" s="61">
        <f>12.4849 * CHOOSE(CONTROL!$C$19, $C$13, 100%, $E$13)</f>
        <v>12.4849</v>
      </c>
    </row>
    <row r="726" spans="1:11" ht="15">
      <c r="A726" s="13">
        <v>63951</v>
      </c>
      <c r="B726" s="60">
        <f>10.4938 * CHOOSE(CONTROL!$C$19, $C$13, 100%, $E$13)</f>
        <v>10.4938</v>
      </c>
      <c r="C726" s="60">
        <f>10.4938 * CHOOSE(CONTROL!$C$19, $C$13, 100%, $E$13)</f>
        <v>10.4938</v>
      </c>
      <c r="D726" s="60">
        <f>10.509 * CHOOSE(CONTROL!$C$19, $C$13, 100%, $E$13)</f>
        <v>10.509</v>
      </c>
      <c r="E726" s="61">
        <f>12.2796 * CHOOSE(CONTROL!$C$19, $C$13, 100%, $E$13)</f>
        <v>12.2796</v>
      </c>
      <c r="F726" s="61">
        <f>12.2796 * CHOOSE(CONTROL!$C$19, $C$13, 100%, $E$13)</f>
        <v>12.2796</v>
      </c>
      <c r="G726" s="61">
        <f>12.2798 * CHOOSE(CONTROL!$C$19, $C$13, 100%, $E$13)</f>
        <v>12.2798</v>
      </c>
      <c r="H726" s="61">
        <f>17.4198* CHOOSE(CONTROL!$C$19, $C$13, 100%, $E$13)</f>
        <v>17.419799999999999</v>
      </c>
      <c r="I726" s="61">
        <f>17.4199 * CHOOSE(CONTROL!$C$19, $C$13, 100%, $E$13)</f>
        <v>17.419899999999998</v>
      </c>
      <c r="J726" s="61">
        <f>12.2796 * CHOOSE(CONTROL!$C$19, $C$13, 100%, $E$13)</f>
        <v>12.2796</v>
      </c>
      <c r="K726" s="61">
        <f>12.2798 * CHOOSE(CONTROL!$C$19, $C$13, 100%, $E$13)</f>
        <v>12.2798</v>
      </c>
    </row>
    <row r="727" spans="1:11" ht="15">
      <c r="A727" s="13">
        <v>63979</v>
      </c>
      <c r="B727" s="60">
        <f>10.4908 * CHOOSE(CONTROL!$C$19, $C$13, 100%, $E$13)</f>
        <v>10.4908</v>
      </c>
      <c r="C727" s="60">
        <f>10.4908 * CHOOSE(CONTROL!$C$19, $C$13, 100%, $E$13)</f>
        <v>10.4908</v>
      </c>
      <c r="D727" s="60">
        <f>10.506 * CHOOSE(CONTROL!$C$19, $C$13, 100%, $E$13)</f>
        <v>10.506</v>
      </c>
      <c r="E727" s="61">
        <f>12.4375 * CHOOSE(CONTROL!$C$19, $C$13, 100%, $E$13)</f>
        <v>12.4375</v>
      </c>
      <c r="F727" s="61">
        <f>12.4375 * CHOOSE(CONTROL!$C$19, $C$13, 100%, $E$13)</f>
        <v>12.4375</v>
      </c>
      <c r="G727" s="61">
        <f>12.4377 * CHOOSE(CONTROL!$C$19, $C$13, 100%, $E$13)</f>
        <v>12.4377</v>
      </c>
      <c r="H727" s="61">
        <f>17.4561* CHOOSE(CONTROL!$C$19, $C$13, 100%, $E$13)</f>
        <v>17.456099999999999</v>
      </c>
      <c r="I727" s="61">
        <f>17.4562 * CHOOSE(CONTROL!$C$19, $C$13, 100%, $E$13)</f>
        <v>17.456199999999999</v>
      </c>
      <c r="J727" s="61">
        <f>12.4375 * CHOOSE(CONTROL!$C$19, $C$13, 100%, $E$13)</f>
        <v>12.4375</v>
      </c>
      <c r="K727" s="61">
        <f>12.4377 * CHOOSE(CONTROL!$C$19, $C$13, 100%, $E$13)</f>
        <v>12.4377</v>
      </c>
    </row>
    <row r="728" spans="1:11" ht="15">
      <c r="A728" s="13">
        <v>64010</v>
      </c>
      <c r="B728" s="60">
        <f>10.4948 * CHOOSE(CONTROL!$C$19, $C$13, 100%, $E$13)</f>
        <v>10.4948</v>
      </c>
      <c r="C728" s="60">
        <f>10.4948 * CHOOSE(CONTROL!$C$19, $C$13, 100%, $E$13)</f>
        <v>10.4948</v>
      </c>
      <c r="D728" s="60">
        <f>10.51 * CHOOSE(CONTROL!$C$19, $C$13, 100%, $E$13)</f>
        <v>10.51</v>
      </c>
      <c r="E728" s="61">
        <f>12.6051 * CHOOSE(CONTROL!$C$19, $C$13, 100%, $E$13)</f>
        <v>12.6051</v>
      </c>
      <c r="F728" s="61">
        <f>12.6051 * CHOOSE(CONTROL!$C$19, $C$13, 100%, $E$13)</f>
        <v>12.6051</v>
      </c>
      <c r="G728" s="61">
        <f>12.6053 * CHOOSE(CONTROL!$C$19, $C$13, 100%, $E$13)</f>
        <v>12.6053</v>
      </c>
      <c r="H728" s="61">
        <f>17.4924* CHOOSE(CONTROL!$C$19, $C$13, 100%, $E$13)</f>
        <v>17.4924</v>
      </c>
      <c r="I728" s="61">
        <f>17.4926 * CHOOSE(CONTROL!$C$19, $C$13, 100%, $E$13)</f>
        <v>17.492599999999999</v>
      </c>
      <c r="J728" s="61">
        <f>12.6051 * CHOOSE(CONTROL!$C$19, $C$13, 100%, $E$13)</f>
        <v>12.6051</v>
      </c>
      <c r="K728" s="61">
        <f>12.6053 * CHOOSE(CONTROL!$C$19, $C$13, 100%, $E$13)</f>
        <v>12.6053</v>
      </c>
    </row>
    <row r="729" spans="1:11" ht="15">
      <c r="A729" s="13">
        <v>64040</v>
      </c>
      <c r="B729" s="60">
        <f>10.4948 * CHOOSE(CONTROL!$C$19, $C$13, 100%, $E$13)</f>
        <v>10.4948</v>
      </c>
      <c r="C729" s="60">
        <f>10.4948 * CHOOSE(CONTROL!$C$19, $C$13, 100%, $E$13)</f>
        <v>10.4948</v>
      </c>
      <c r="D729" s="60">
        <f>10.5252 * CHOOSE(CONTROL!$C$19, $C$13, 100%, $E$13)</f>
        <v>10.5252</v>
      </c>
      <c r="E729" s="61">
        <f>12.6696 * CHOOSE(CONTROL!$C$19, $C$13, 100%, $E$13)</f>
        <v>12.669600000000001</v>
      </c>
      <c r="F729" s="61">
        <f>12.6696 * CHOOSE(CONTROL!$C$19, $C$13, 100%, $E$13)</f>
        <v>12.669600000000001</v>
      </c>
      <c r="G729" s="61">
        <f>12.6715 * CHOOSE(CONTROL!$C$19, $C$13, 100%, $E$13)</f>
        <v>12.6715</v>
      </c>
      <c r="H729" s="61">
        <f>17.5289* CHOOSE(CONTROL!$C$19, $C$13, 100%, $E$13)</f>
        <v>17.5289</v>
      </c>
      <c r="I729" s="61">
        <f>17.5308 * CHOOSE(CONTROL!$C$19, $C$13, 100%, $E$13)</f>
        <v>17.530799999999999</v>
      </c>
      <c r="J729" s="61">
        <f>12.6696 * CHOOSE(CONTROL!$C$19, $C$13, 100%, $E$13)</f>
        <v>12.669600000000001</v>
      </c>
      <c r="K729" s="61">
        <f>12.6715 * CHOOSE(CONTROL!$C$19, $C$13, 100%, $E$13)</f>
        <v>12.6715</v>
      </c>
    </row>
    <row r="730" spans="1:11" ht="15">
      <c r="A730" s="13">
        <v>64071</v>
      </c>
      <c r="B730" s="60">
        <f>10.5009 * CHOOSE(CONTROL!$C$19, $C$13, 100%, $E$13)</f>
        <v>10.5009</v>
      </c>
      <c r="C730" s="60">
        <f>10.5009 * CHOOSE(CONTROL!$C$19, $C$13, 100%, $E$13)</f>
        <v>10.5009</v>
      </c>
      <c r="D730" s="60">
        <f>10.5313 * CHOOSE(CONTROL!$C$19, $C$13, 100%, $E$13)</f>
        <v>10.5313</v>
      </c>
      <c r="E730" s="61">
        <f>12.6093 * CHOOSE(CONTROL!$C$19, $C$13, 100%, $E$13)</f>
        <v>12.609299999999999</v>
      </c>
      <c r="F730" s="61">
        <f>12.6093 * CHOOSE(CONTROL!$C$19, $C$13, 100%, $E$13)</f>
        <v>12.609299999999999</v>
      </c>
      <c r="G730" s="61">
        <f>12.6113 * CHOOSE(CONTROL!$C$19, $C$13, 100%, $E$13)</f>
        <v>12.6113</v>
      </c>
      <c r="H730" s="61">
        <f>17.5654* CHOOSE(CONTROL!$C$19, $C$13, 100%, $E$13)</f>
        <v>17.5654</v>
      </c>
      <c r="I730" s="61">
        <f>17.5673 * CHOOSE(CONTROL!$C$19, $C$13, 100%, $E$13)</f>
        <v>17.567299999999999</v>
      </c>
      <c r="J730" s="61">
        <f>12.6093 * CHOOSE(CONTROL!$C$19, $C$13, 100%, $E$13)</f>
        <v>12.609299999999999</v>
      </c>
      <c r="K730" s="61">
        <f>12.6113 * CHOOSE(CONTROL!$C$19, $C$13, 100%, $E$13)</f>
        <v>12.6113</v>
      </c>
    </row>
    <row r="731" spans="1:11" ht="15">
      <c r="A731" s="13">
        <v>64101</v>
      </c>
      <c r="B731" s="60">
        <f>10.6491 * CHOOSE(CONTROL!$C$19, $C$13, 100%, $E$13)</f>
        <v>10.649100000000001</v>
      </c>
      <c r="C731" s="60">
        <f>10.6491 * CHOOSE(CONTROL!$C$19, $C$13, 100%, $E$13)</f>
        <v>10.649100000000001</v>
      </c>
      <c r="D731" s="60">
        <f>10.6794 * CHOOSE(CONTROL!$C$19, $C$13, 100%, $E$13)</f>
        <v>10.679399999999999</v>
      </c>
      <c r="E731" s="61">
        <f>12.8402 * CHOOSE(CONTROL!$C$19, $C$13, 100%, $E$13)</f>
        <v>12.840199999999999</v>
      </c>
      <c r="F731" s="61">
        <f>12.8402 * CHOOSE(CONTROL!$C$19, $C$13, 100%, $E$13)</f>
        <v>12.840199999999999</v>
      </c>
      <c r="G731" s="61">
        <f>12.8421 * CHOOSE(CONTROL!$C$19, $C$13, 100%, $E$13)</f>
        <v>12.8421</v>
      </c>
      <c r="H731" s="61">
        <f>17.602* CHOOSE(CONTROL!$C$19, $C$13, 100%, $E$13)</f>
        <v>17.602</v>
      </c>
      <c r="I731" s="61">
        <f>17.6039 * CHOOSE(CONTROL!$C$19, $C$13, 100%, $E$13)</f>
        <v>17.603899999999999</v>
      </c>
      <c r="J731" s="61">
        <f>12.8402 * CHOOSE(CONTROL!$C$19, $C$13, 100%, $E$13)</f>
        <v>12.840199999999999</v>
      </c>
      <c r="K731" s="61">
        <f>12.8421 * CHOOSE(CONTROL!$C$19, $C$13, 100%, $E$13)</f>
        <v>12.8421</v>
      </c>
    </row>
    <row r="732" spans="1:11" ht="15">
      <c r="A732" s="13">
        <v>64132</v>
      </c>
      <c r="B732" s="60">
        <f>10.6558 * CHOOSE(CONTROL!$C$19, $C$13, 100%, $E$13)</f>
        <v>10.655799999999999</v>
      </c>
      <c r="C732" s="60">
        <f>10.6558 * CHOOSE(CONTROL!$C$19, $C$13, 100%, $E$13)</f>
        <v>10.655799999999999</v>
      </c>
      <c r="D732" s="60">
        <f>10.6861 * CHOOSE(CONTROL!$C$19, $C$13, 100%, $E$13)</f>
        <v>10.6861</v>
      </c>
      <c r="E732" s="61">
        <f>12.6515 * CHOOSE(CONTROL!$C$19, $C$13, 100%, $E$13)</f>
        <v>12.6515</v>
      </c>
      <c r="F732" s="61">
        <f>12.6515 * CHOOSE(CONTROL!$C$19, $C$13, 100%, $E$13)</f>
        <v>12.6515</v>
      </c>
      <c r="G732" s="61">
        <f>12.6534 * CHOOSE(CONTROL!$C$19, $C$13, 100%, $E$13)</f>
        <v>12.6534</v>
      </c>
      <c r="H732" s="61">
        <f>17.6386* CHOOSE(CONTROL!$C$19, $C$13, 100%, $E$13)</f>
        <v>17.6386</v>
      </c>
      <c r="I732" s="61">
        <f>17.6405 * CHOOSE(CONTROL!$C$19, $C$13, 100%, $E$13)</f>
        <v>17.640499999999999</v>
      </c>
      <c r="J732" s="61">
        <f>12.6515 * CHOOSE(CONTROL!$C$19, $C$13, 100%, $E$13)</f>
        <v>12.6515</v>
      </c>
      <c r="K732" s="61">
        <f>12.6534 * CHOOSE(CONTROL!$C$19, $C$13, 100%, $E$13)</f>
        <v>12.6534</v>
      </c>
    </row>
    <row r="733" spans="1:11" ht="15">
      <c r="A733" s="13">
        <v>64163</v>
      </c>
      <c r="B733" s="60">
        <f>10.6527 * CHOOSE(CONTROL!$C$19, $C$13, 100%, $E$13)</f>
        <v>10.652699999999999</v>
      </c>
      <c r="C733" s="60">
        <f>10.6527 * CHOOSE(CONTROL!$C$19, $C$13, 100%, $E$13)</f>
        <v>10.652699999999999</v>
      </c>
      <c r="D733" s="60">
        <f>10.6831 * CHOOSE(CONTROL!$C$19, $C$13, 100%, $E$13)</f>
        <v>10.6831</v>
      </c>
      <c r="E733" s="61">
        <f>12.6279 * CHOOSE(CONTROL!$C$19, $C$13, 100%, $E$13)</f>
        <v>12.6279</v>
      </c>
      <c r="F733" s="61">
        <f>12.6279 * CHOOSE(CONTROL!$C$19, $C$13, 100%, $E$13)</f>
        <v>12.6279</v>
      </c>
      <c r="G733" s="61">
        <f>12.6298 * CHOOSE(CONTROL!$C$19, $C$13, 100%, $E$13)</f>
        <v>12.629799999999999</v>
      </c>
      <c r="H733" s="61">
        <f>17.6754* CHOOSE(CONTROL!$C$19, $C$13, 100%, $E$13)</f>
        <v>17.6754</v>
      </c>
      <c r="I733" s="61">
        <f>17.6773 * CHOOSE(CONTROL!$C$19, $C$13, 100%, $E$13)</f>
        <v>17.677299999999999</v>
      </c>
      <c r="J733" s="61">
        <f>12.6279 * CHOOSE(CONTROL!$C$19, $C$13, 100%, $E$13)</f>
        <v>12.6279</v>
      </c>
      <c r="K733" s="61">
        <f>12.6298 * CHOOSE(CONTROL!$C$19, $C$13, 100%, $E$13)</f>
        <v>12.629799999999999</v>
      </c>
    </row>
    <row r="734" spans="1:11" ht="15">
      <c r="A734" s="13">
        <v>64193</v>
      </c>
      <c r="B734" s="60">
        <f>10.6731 * CHOOSE(CONTROL!$C$19, $C$13, 100%, $E$13)</f>
        <v>10.6731</v>
      </c>
      <c r="C734" s="60">
        <f>10.6731 * CHOOSE(CONTROL!$C$19, $C$13, 100%, $E$13)</f>
        <v>10.6731</v>
      </c>
      <c r="D734" s="60">
        <f>10.6883 * CHOOSE(CONTROL!$C$19, $C$13, 100%, $E$13)</f>
        <v>10.6883</v>
      </c>
      <c r="E734" s="61">
        <f>12.7004 * CHOOSE(CONTROL!$C$19, $C$13, 100%, $E$13)</f>
        <v>12.7004</v>
      </c>
      <c r="F734" s="61">
        <f>12.7004 * CHOOSE(CONTROL!$C$19, $C$13, 100%, $E$13)</f>
        <v>12.7004</v>
      </c>
      <c r="G734" s="61">
        <f>12.7006 * CHOOSE(CONTROL!$C$19, $C$13, 100%, $E$13)</f>
        <v>12.7006</v>
      </c>
      <c r="H734" s="61">
        <f>17.7122* CHOOSE(CONTROL!$C$19, $C$13, 100%, $E$13)</f>
        <v>17.712199999999999</v>
      </c>
      <c r="I734" s="61">
        <f>17.7124 * CHOOSE(CONTROL!$C$19, $C$13, 100%, $E$13)</f>
        <v>17.712399999999999</v>
      </c>
      <c r="J734" s="61">
        <f>12.7004 * CHOOSE(CONTROL!$C$19, $C$13, 100%, $E$13)</f>
        <v>12.7004</v>
      </c>
      <c r="K734" s="61">
        <f>12.7006 * CHOOSE(CONTROL!$C$19, $C$13, 100%, $E$13)</f>
        <v>12.7006</v>
      </c>
    </row>
    <row r="735" spans="1:11" ht="15">
      <c r="A735" s="13">
        <v>64224</v>
      </c>
      <c r="B735" s="60">
        <f>10.6761 * CHOOSE(CONTROL!$C$19, $C$13, 100%, $E$13)</f>
        <v>10.6761</v>
      </c>
      <c r="C735" s="60">
        <f>10.6761 * CHOOSE(CONTROL!$C$19, $C$13, 100%, $E$13)</f>
        <v>10.6761</v>
      </c>
      <c r="D735" s="60">
        <f>10.6913 * CHOOSE(CONTROL!$C$19, $C$13, 100%, $E$13)</f>
        <v>10.6913</v>
      </c>
      <c r="E735" s="61">
        <f>12.7455 * CHOOSE(CONTROL!$C$19, $C$13, 100%, $E$13)</f>
        <v>12.7455</v>
      </c>
      <c r="F735" s="61">
        <f>12.7455 * CHOOSE(CONTROL!$C$19, $C$13, 100%, $E$13)</f>
        <v>12.7455</v>
      </c>
      <c r="G735" s="61">
        <f>12.7457 * CHOOSE(CONTROL!$C$19, $C$13, 100%, $E$13)</f>
        <v>12.745699999999999</v>
      </c>
      <c r="H735" s="61">
        <f>17.7491* CHOOSE(CONTROL!$C$19, $C$13, 100%, $E$13)</f>
        <v>17.749099999999999</v>
      </c>
      <c r="I735" s="61">
        <f>17.7493 * CHOOSE(CONTROL!$C$19, $C$13, 100%, $E$13)</f>
        <v>17.749300000000002</v>
      </c>
      <c r="J735" s="61">
        <f>12.7455 * CHOOSE(CONTROL!$C$19, $C$13, 100%, $E$13)</f>
        <v>12.7455</v>
      </c>
      <c r="K735" s="61">
        <f>12.7457 * CHOOSE(CONTROL!$C$19, $C$13, 100%, $E$13)</f>
        <v>12.745699999999999</v>
      </c>
    </row>
    <row r="736" spans="1:11" ht="15">
      <c r="A736" s="13">
        <v>64254</v>
      </c>
      <c r="B736" s="60">
        <f>10.6761 * CHOOSE(CONTROL!$C$19, $C$13, 100%, $E$13)</f>
        <v>10.6761</v>
      </c>
      <c r="C736" s="60">
        <f>10.6761 * CHOOSE(CONTROL!$C$19, $C$13, 100%, $E$13)</f>
        <v>10.6761</v>
      </c>
      <c r="D736" s="60">
        <f>10.6913 * CHOOSE(CONTROL!$C$19, $C$13, 100%, $E$13)</f>
        <v>10.6913</v>
      </c>
      <c r="E736" s="61">
        <f>12.6381 * CHOOSE(CONTROL!$C$19, $C$13, 100%, $E$13)</f>
        <v>12.6381</v>
      </c>
      <c r="F736" s="61">
        <f>12.6381 * CHOOSE(CONTROL!$C$19, $C$13, 100%, $E$13)</f>
        <v>12.6381</v>
      </c>
      <c r="G736" s="61">
        <f>12.6383 * CHOOSE(CONTROL!$C$19, $C$13, 100%, $E$13)</f>
        <v>12.638299999999999</v>
      </c>
      <c r="H736" s="61">
        <f>17.7861* CHOOSE(CONTROL!$C$19, $C$13, 100%, $E$13)</f>
        <v>17.786100000000001</v>
      </c>
      <c r="I736" s="61">
        <f>17.7863 * CHOOSE(CONTROL!$C$19, $C$13, 100%, $E$13)</f>
        <v>17.786300000000001</v>
      </c>
      <c r="J736" s="61">
        <f>12.6381 * CHOOSE(CONTROL!$C$19, $C$13, 100%, $E$13)</f>
        <v>12.6381</v>
      </c>
      <c r="K736" s="61">
        <f>12.6383 * CHOOSE(CONTROL!$C$19, $C$13, 100%, $E$13)</f>
        <v>12.638299999999999</v>
      </c>
    </row>
    <row r="737" spans="1:11" ht="15">
      <c r="A737" s="13">
        <v>64285</v>
      </c>
      <c r="B737" s="60">
        <f>10.6935 * CHOOSE(CONTROL!$C$19, $C$13, 100%, $E$13)</f>
        <v>10.6935</v>
      </c>
      <c r="C737" s="60">
        <f>10.6935 * CHOOSE(CONTROL!$C$19, $C$13, 100%, $E$13)</f>
        <v>10.6935</v>
      </c>
      <c r="D737" s="60">
        <f>10.7087 * CHOOSE(CONTROL!$C$19, $C$13, 100%, $E$13)</f>
        <v>10.7087</v>
      </c>
      <c r="E737" s="61">
        <f>12.7365 * CHOOSE(CONTROL!$C$19, $C$13, 100%, $E$13)</f>
        <v>12.736499999999999</v>
      </c>
      <c r="F737" s="61">
        <f>12.7365 * CHOOSE(CONTROL!$C$19, $C$13, 100%, $E$13)</f>
        <v>12.736499999999999</v>
      </c>
      <c r="G737" s="61">
        <f>12.7367 * CHOOSE(CONTROL!$C$19, $C$13, 100%, $E$13)</f>
        <v>12.736700000000001</v>
      </c>
      <c r="H737" s="61">
        <f>17.7082* CHOOSE(CONTROL!$C$19, $C$13, 100%, $E$13)</f>
        <v>17.708200000000001</v>
      </c>
      <c r="I737" s="61">
        <f>17.7084 * CHOOSE(CONTROL!$C$19, $C$13, 100%, $E$13)</f>
        <v>17.708400000000001</v>
      </c>
      <c r="J737" s="61">
        <f>12.7365 * CHOOSE(CONTROL!$C$19, $C$13, 100%, $E$13)</f>
        <v>12.736499999999999</v>
      </c>
      <c r="K737" s="61">
        <f>12.7367 * CHOOSE(CONTROL!$C$19, $C$13, 100%, $E$13)</f>
        <v>12.736700000000001</v>
      </c>
    </row>
    <row r="738" spans="1:11" ht="15">
      <c r="A738" s="13">
        <v>64316</v>
      </c>
      <c r="B738" s="60">
        <f>10.6904 * CHOOSE(CONTROL!$C$19, $C$13, 100%, $E$13)</f>
        <v>10.6904</v>
      </c>
      <c r="C738" s="60">
        <f>10.6904 * CHOOSE(CONTROL!$C$19, $C$13, 100%, $E$13)</f>
        <v>10.6904</v>
      </c>
      <c r="D738" s="60">
        <f>10.7056 * CHOOSE(CONTROL!$C$19, $C$13, 100%, $E$13)</f>
        <v>10.7056</v>
      </c>
      <c r="E738" s="61">
        <f>12.527 * CHOOSE(CONTROL!$C$19, $C$13, 100%, $E$13)</f>
        <v>12.526999999999999</v>
      </c>
      <c r="F738" s="61">
        <f>12.527 * CHOOSE(CONTROL!$C$19, $C$13, 100%, $E$13)</f>
        <v>12.526999999999999</v>
      </c>
      <c r="G738" s="61">
        <f>12.5271 * CHOOSE(CONTROL!$C$19, $C$13, 100%, $E$13)</f>
        <v>12.527100000000001</v>
      </c>
      <c r="H738" s="61">
        <f>17.7451* CHOOSE(CONTROL!$C$19, $C$13, 100%, $E$13)</f>
        <v>17.745100000000001</v>
      </c>
      <c r="I738" s="61">
        <f>17.7453 * CHOOSE(CONTROL!$C$19, $C$13, 100%, $E$13)</f>
        <v>17.7453</v>
      </c>
      <c r="J738" s="61">
        <f>12.527 * CHOOSE(CONTROL!$C$19, $C$13, 100%, $E$13)</f>
        <v>12.526999999999999</v>
      </c>
      <c r="K738" s="61">
        <f>12.5271 * CHOOSE(CONTROL!$C$19, $C$13, 100%, $E$13)</f>
        <v>12.527100000000001</v>
      </c>
    </row>
    <row r="739" spans="1:11" ht="15">
      <c r="A739" s="13">
        <v>64345</v>
      </c>
      <c r="B739" s="60">
        <f>10.6874 * CHOOSE(CONTROL!$C$19, $C$13, 100%, $E$13)</f>
        <v>10.6874</v>
      </c>
      <c r="C739" s="60">
        <f>10.6874 * CHOOSE(CONTROL!$C$19, $C$13, 100%, $E$13)</f>
        <v>10.6874</v>
      </c>
      <c r="D739" s="60">
        <f>10.7026 * CHOOSE(CONTROL!$C$19, $C$13, 100%, $E$13)</f>
        <v>10.7026</v>
      </c>
      <c r="E739" s="61">
        <f>12.6884 * CHOOSE(CONTROL!$C$19, $C$13, 100%, $E$13)</f>
        <v>12.6884</v>
      </c>
      <c r="F739" s="61">
        <f>12.6884 * CHOOSE(CONTROL!$C$19, $C$13, 100%, $E$13)</f>
        <v>12.6884</v>
      </c>
      <c r="G739" s="61">
        <f>12.6886 * CHOOSE(CONTROL!$C$19, $C$13, 100%, $E$13)</f>
        <v>12.688599999999999</v>
      </c>
      <c r="H739" s="61">
        <f>17.7821* CHOOSE(CONTROL!$C$19, $C$13, 100%, $E$13)</f>
        <v>17.7821</v>
      </c>
      <c r="I739" s="61">
        <f>17.7822 * CHOOSE(CONTROL!$C$19, $C$13, 100%, $E$13)</f>
        <v>17.7822</v>
      </c>
      <c r="J739" s="61">
        <f>12.6884 * CHOOSE(CONTROL!$C$19, $C$13, 100%, $E$13)</f>
        <v>12.6884</v>
      </c>
      <c r="K739" s="61">
        <f>12.6886 * CHOOSE(CONTROL!$C$19, $C$13, 100%, $E$13)</f>
        <v>12.688599999999999</v>
      </c>
    </row>
    <row r="740" spans="1:11" ht="15">
      <c r="A740" s="13">
        <v>64376</v>
      </c>
      <c r="B740" s="60">
        <f>10.6917 * CHOOSE(CONTROL!$C$19, $C$13, 100%, $E$13)</f>
        <v>10.691700000000001</v>
      </c>
      <c r="C740" s="60">
        <f>10.6917 * CHOOSE(CONTROL!$C$19, $C$13, 100%, $E$13)</f>
        <v>10.691700000000001</v>
      </c>
      <c r="D740" s="60">
        <f>10.7068 * CHOOSE(CONTROL!$C$19, $C$13, 100%, $E$13)</f>
        <v>10.706799999999999</v>
      </c>
      <c r="E740" s="61">
        <f>12.8598 * CHOOSE(CONTROL!$C$19, $C$13, 100%, $E$13)</f>
        <v>12.8598</v>
      </c>
      <c r="F740" s="61">
        <f>12.8598 * CHOOSE(CONTROL!$C$19, $C$13, 100%, $E$13)</f>
        <v>12.8598</v>
      </c>
      <c r="G740" s="61">
        <f>12.86 * CHOOSE(CONTROL!$C$19, $C$13, 100%, $E$13)</f>
        <v>12.86</v>
      </c>
      <c r="H740" s="61">
        <f>17.8191* CHOOSE(CONTROL!$C$19, $C$13, 100%, $E$13)</f>
        <v>17.819099999999999</v>
      </c>
      <c r="I740" s="61">
        <f>17.8193 * CHOOSE(CONTROL!$C$19, $C$13, 100%, $E$13)</f>
        <v>17.819299999999998</v>
      </c>
      <c r="J740" s="61">
        <f>12.8598 * CHOOSE(CONTROL!$C$19, $C$13, 100%, $E$13)</f>
        <v>12.8598</v>
      </c>
      <c r="K740" s="61">
        <f>12.86 * CHOOSE(CONTROL!$C$19, $C$13, 100%, $E$13)</f>
        <v>12.86</v>
      </c>
    </row>
    <row r="741" spans="1:11" ht="15">
      <c r="A741" s="13">
        <v>64406</v>
      </c>
      <c r="B741" s="60">
        <f>10.6917 * CHOOSE(CONTROL!$C$19, $C$13, 100%, $E$13)</f>
        <v>10.691700000000001</v>
      </c>
      <c r="C741" s="60">
        <f>10.6917 * CHOOSE(CONTROL!$C$19, $C$13, 100%, $E$13)</f>
        <v>10.691700000000001</v>
      </c>
      <c r="D741" s="60">
        <f>10.722 * CHOOSE(CONTROL!$C$19, $C$13, 100%, $E$13)</f>
        <v>10.722</v>
      </c>
      <c r="E741" s="61">
        <f>12.9257 * CHOOSE(CONTROL!$C$19, $C$13, 100%, $E$13)</f>
        <v>12.925700000000001</v>
      </c>
      <c r="F741" s="61">
        <f>12.9257 * CHOOSE(CONTROL!$C$19, $C$13, 100%, $E$13)</f>
        <v>12.925700000000001</v>
      </c>
      <c r="G741" s="61">
        <f>12.9276 * CHOOSE(CONTROL!$C$19, $C$13, 100%, $E$13)</f>
        <v>12.9276</v>
      </c>
      <c r="H741" s="61">
        <f>17.8562* CHOOSE(CONTROL!$C$19, $C$13, 100%, $E$13)</f>
        <v>17.856200000000001</v>
      </c>
      <c r="I741" s="61">
        <f>17.8581 * CHOOSE(CONTROL!$C$19, $C$13, 100%, $E$13)</f>
        <v>17.8581</v>
      </c>
      <c r="J741" s="61">
        <f>12.9257 * CHOOSE(CONTROL!$C$19, $C$13, 100%, $E$13)</f>
        <v>12.925700000000001</v>
      </c>
      <c r="K741" s="61">
        <f>12.9276 * CHOOSE(CONTROL!$C$19, $C$13, 100%, $E$13)</f>
        <v>12.9276</v>
      </c>
    </row>
    <row r="742" spans="1:11" ht="15">
      <c r="A742" s="13">
        <v>64437</v>
      </c>
      <c r="B742" s="60">
        <f>10.6977 * CHOOSE(CONTROL!$C$19, $C$13, 100%, $E$13)</f>
        <v>10.697699999999999</v>
      </c>
      <c r="C742" s="60">
        <f>10.6977 * CHOOSE(CONTROL!$C$19, $C$13, 100%, $E$13)</f>
        <v>10.697699999999999</v>
      </c>
      <c r="D742" s="60">
        <f>10.7281 * CHOOSE(CONTROL!$C$19, $C$13, 100%, $E$13)</f>
        <v>10.7281</v>
      </c>
      <c r="E742" s="61">
        <f>12.864 * CHOOSE(CONTROL!$C$19, $C$13, 100%, $E$13)</f>
        <v>12.864000000000001</v>
      </c>
      <c r="F742" s="61">
        <f>12.864 * CHOOSE(CONTROL!$C$19, $C$13, 100%, $E$13)</f>
        <v>12.864000000000001</v>
      </c>
      <c r="G742" s="61">
        <f>12.8659 * CHOOSE(CONTROL!$C$19, $C$13, 100%, $E$13)</f>
        <v>12.8659</v>
      </c>
      <c r="H742" s="61">
        <f>17.8934* CHOOSE(CONTROL!$C$19, $C$13, 100%, $E$13)</f>
        <v>17.8934</v>
      </c>
      <c r="I742" s="61">
        <f>17.8953 * CHOOSE(CONTROL!$C$19, $C$13, 100%, $E$13)</f>
        <v>17.895299999999999</v>
      </c>
      <c r="J742" s="61">
        <f>12.864 * CHOOSE(CONTROL!$C$19, $C$13, 100%, $E$13)</f>
        <v>12.864000000000001</v>
      </c>
      <c r="K742" s="61">
        <f>12.8659 * CHOOSE(CONTROL!$C$19, $C$13, 100%, $E$13)</f>
        <v>12.8659</v>
      </c>
    </row>
    <row r="743" spans="1:11" ht="15">
      <c r="A743" s="13">
        <v>64467</v>
      </c>
      <c r="B743" s="60">
        <f>10.8484 * CHOOSE(CONTROL!$C$19, $C$13, 100%, $E$13)</f>
        <v>10.8484</v>
      </c>
      <c r="C743" s="60">
        <f>10.8484 * CHOOSE(CONTROL!$C$19, $C$13, 100%, $E$13)</f>
        <v>10.8484</v>
      </c>
      <c r="D743" s="60">
        <f>10.8788 * CHOOSE(CONTROL!$C$19, $C$13, 100%, $E$13)</f>
        <v>10.8788</v>
      </c>
      <c r="E743" s="61">
        <f>13.0993 * CHOOSE(CONTROL!$C$19, $C$13, 100%, $E$13)</f>
        <v>13.099299999999999</v>
      </c>
      <c r="F743" s="61">
        <f>13.0993 * CHOOSE(CONTROL!$C$19, $C$13, 100%, $E$13)</f>
        <v>13.099299999999999</v>
      </c>
      <c r="G743" s="61">
        <f>13.1012 * CHOOSE(CONTROL!$C$19, $C$13, 100%, $E$13)</f>
        <v>13.1012</v>
      </c>
      <c r="H743" s="61">
        <f>17.9307* CHOOSE(CONTROL!$C$19, $C$13, 100%, $E$13)</f>
        <v>17.930700000000002</v>
      </c>
      <c r="I743" s="61">
        <f>17.9326 * CHOOSE(CONTROL!$C$19, $C$13, 100%, $E$13)</f>
        <v>17.932600000000001</v>
      </c>
      <c r="J743" s="61">
        <f>13.0993 * CHOOSE(CONTROL!$C$19, $C$13, 100%, $E$13)</f>
        <v>13.099299999999999</v>
      </c>
      <c r="K743" s="61">
        <f>13.1012 * CHOOSE(CONTROL!$C$19, $C$13, 100%, $E$13)</f>
        <v>13.1012</v>
      </c>
    </row>
    <row r="744" spans="1:11" ht="15">
      <c r="A744" s="13">
        <v>64498</v>
      </c>
      <c r="B744" s="60">
        <f>10.8551 * CHOOSE(CONTROL!$C$19, $C$13, 100%, $E$13)</f>
        <v>10.8551</v>
      </c>
      <c r="C744" s="60">
        <f>10.8551 * CHOOSE(CONTROL!$C$19, $C$13, 100%, $E$13)</f>
        <v>10.8551</v>
      </c>
      <c r="D744" s="60">
        <f>10.8854 * CHOOSE(CONTROL!$C$19, $C$13, 100%, $E$13)</f>
        <v>10.885400000000001</v>
      </c>
      <c r="E744" s="61">
        <f>12.9063 * CHOOSE(CONTROL!$C$19, $C$13, 100%, $E$13)</f>
        <v>12.9063</v>
      </c>
      <c r="F744" s="61">
        <f>12.9063 * CHOOSE(CONTROL!$C$19, $C$13, 100%, $E$13)</f>
        <v>12.9063</v>
      </c>
      <c r="G744" s="61">
        <f>12.9082 * CHOOSE(CONTROL!$C$19, $C$13, 100%, $E$13)</f>
        <v>12.908200000000001</v>
      </c>
      <c r="H744" s="61">
        <f>17.9681* CHOOSE(CONTROL!$C$19, $C$13, 100%, $E$13)</f>
        <v>17.9681</v>
      </c>
      <c r="I744" s="61">
        <f>17.97 * CHOOSE(CONTROL!$C$19, $C$13, 100%, $E$13)</f>
        <v>17.97</v>
      </c>
      <c r="J744" s="61">
        <f>12.9063 * CHOOSE(CONTROL!$C$19, $C$13, 100%, $E$13)</f>
        <v>12.9063</v>
      </c>
      <c r="K744" s="61">
        <f>12.9082 * CHOOSE(CONTROL!$C$19, $C$13, 100%, $E$13)</f>
        <v>12.908200000000001</v>
      </c>
    </row>
    <row r="745" spans="1:11" ht="15">
      <c r="A745" s="13">
        <v>64529</v>
      </c>
      <c r="B745" s="60">
        <f>10.852 * CHOOSE(CONTROL!$C$19, $C$13, 100%, $E$13)</f>
        <v>10.852</v>
      </c>
      <c r="C745" s="60">
        <f>10.852 * CHOOSE(CONTROL!$C$19, $C$13, 100%, $E$13)</f>
        <v>10.852</v>
      </c>
      <c r="D745" s="60">
        <f>10.8824 * CHOOSE(CONTROL!$C$19, $C$13, 100%, $E$13)</f>
        <v>10.882400000000001</v>
      </c>
      <c r="E745" s="61">
        <f>12.8823 * CHOOSE(CONTROL!$C$19, $C$13, 100%, $E$13)</f>
        <v>12.882300000000001</v>
      </c>
      <c r="F745" s="61">
        <f>12.8823 * CHOOSE(CONTROL!$C$19, $C$13, 100%, $E$13)</f>
        <v>12.882300000000001</v>
      </c>
      <c r="G745" s="61">
        <f>12.8842 * CHOOSE(CONTROL!$C$19, $C$13, 100%, $E$13)</f>
        <v>12.8842</v>
      </c>
      <c r="H745" s="61">
        <f>18.0055* CHOOSE(CONTROL!$C$19, $C$13, 100%, $E$13)</f>
        <v>18.005500000000001</v>
      </c>
      <c r="I745" s="61">
        <f>18.0074 * CHOOSE(CONTROL!$C$19, $C$13, 100%, $E$13)</f>
        <v>18.007400000000001</v>
      </c>
      <c r="J745" s="61">
        <f>12.8823 * CHOOSE(CONTROL!$C$19, $C$13, 100%, $E$13)</f>
        <v>12.882300000000001</v>
      </c>
      <c r="K745" s="61">
        <f>12.8842 * CHOOSE(CONTROL!$C$19, $C$13, 100%, $E$13)</f>
        <v>12.8842</v>
      </c>
    </row>
    <row r="746" spans="1:11" ht="15">
      <c r="A746" s="13">
        <v>64559</v>
      </c>
      <c r="B746" s="60">
        <f>10.8731 * CHOOSE(CONTROL!$C$19, $C$13, 100%, $E$13)</f>
        <v>10.873100000000001</v>
      </c>
      <c r="C746" s="60">
        <f>10.8731 * CHOOSE(CONTROL!$C$19, $C$13, 100%, $E$13)</f>
        <v>10.873100000000001</v>
      </c>
      <c r="D746" s="60">
        <f>10.8883 * CHOOSE(CONTROL!$C$19, $C$13, 100%, $E$13)</f>
        <v>10.888299999999999</v>
      </c>
      <c r="E746" s="61">
        <f>12.9567 * CHOOSE(CONTROL!$C$19, $C$13, 100%, $E$13)</f>
        <v>12.9567</v>
      </c>
      <c r="F746" s="61">
        <f>12.9567 * CHOOSE(CONTROL!$C$19, $C$13, 100%, $E$13)</f>
        <v>12.9567</v>
      </c>
      <c r="G746" s="61">
        <f>12.9568 * CHOOSE(CONTROL!$C$19, $C$13, 100%, $E$13)</f>
        <v>12.956799999999999</v>
      </c>
      <c r="H746" s="61">
        <f>18.043* CHOOSE(CONTROL!$C$19, $C$13, 100%, $E$13)</f>
        <v>18.042999999999999</v>
      </c>
      <c r="I746" s="61">
        <f>18.0432 * CHOOSE(CONTROL!$C$19, $C$13, 100%, $E$13)</f>
        <v>18.043199999999999</v>
      </c>
      <c r="J746" s="61">
        <f>12.9567 * CHOOSE(CONTROL!$C$19, $C$13, 100%, $E$13)</f>
        <v>12.9567</v>
      </c>
      <c r="K746" s="61">
        <f>12.9568 * CHOOSE(CONTROL!$C$19, $C$13, 100%, $E$13)</f>
        <v>12.956799999999999</v>
      </c>
    </row>
    <row r="747" spans="1:11" ht="15">
      <c r="A747" s="13">
        <v>64590</v>
      </c>
      <c r="B747" s="60">
        <f>10.8762 * CHOOSE(CONTROL!$C$19, $C$13, 100%, $E$13)</f>
        <v>10.876200000000001</v>
      </c>
      <c r="C747" s="60">
        <f>10.8762 * CHOOSE(CONTROL!$C$19, $C$13, 100%, $E$13)</f>
        <v>10.876200000000001</v>
      </c>
      <c r="D747" s="60">
        <f>10.8914 * CHOOSE(CONTROL!$C$19, $C$13, 100%, $E$13)</f>
        <v>10.891400000000001</v>
      </c>
      <c r="E747" s="61">
        <f>13.0027 * CHOOSE(CONTROL!$C$19, $C$13, 100%, $E$13)</f>
        <v>13.002700000000001</v>
      </c>
      <c r="F747" s="61">
        <f>13.0027 * CHOOSE(CONTROL!$C$19, $C$13, 100%, $E$13)</f>
        <v>13.002700000000001</v>
      </c>
      <c r="G747" s="61">
        <f>13.0029 * CHOOSE(CONTROL!$C$19, $C$13, 100%, $E$13)</f>
        <v>13.0029</v>
      </c>
      <c r="H747" s="61">
        <f>18.0806* CHOOSE(CONTROL!$C$19, $C$13, 100%, $E$13)</f>
        <v>18.0806</v>
      </c>
      <c r="I747" s="61">
        <f>18.0808 * CHOOSE(CONTROL!$C$19, $C$13, 100%, $E$13)</f>
        <v>18.0808</v>
      </c>
      <c r="J747" s="61">
        <f>13.0027 * CHOOSE(CONTROL!$C$19, $C$13, 100%, $E$13)</f>
        <v>13.002700000000001</v>
      </c>
      <c r="K747" s="61">
        <f>13.0029 * CHOOSE(CONTROL!$C$19, $C$13, 100%, $E$13)</f>
        <v>13.0029</v>
      </c>
    </row>
    <row r="748" spans="1:11" ht="15">
      <c r="A748" s="13">
        <v>64620</v>
      </c>
      <c r="B748" s="60">
        <f>10.8762 * CHOOSE(CONTROL!$C$19, $C$13, 100%, $E$13)</f>
        <v>10.876200000000001</v>
      </c>
      <c r="C748" s="60">
        <f>10.8762 * CHOOSE(CONTROL!$C$19, $C$13, 100%, $E$13)</f>
        <v>10.876200000000001</v>
      </c>
      <c r="D748" s="60">
        <f>10.8914 * CHOOSE(CONTROL!$C$19, $C$13, 100%, $E$13)</f>
        <v>10.891400000000001</v>
      </c>
      <c r="E748" s="61">
        <f>12.8929 * CHOOSE(CONTROL!$C$19, $C$13, 100%, $E$13)</f>
        <v>12.892899999999999</v>
      </c>
      <c r="F748" s="61">
        <f>12.8929 * CHOOSE(CONTROL!$C$19, $C$13, 100%, $E$13)</f>
        <v>12.892899999999999</v>
      </c>
      <c r="G748" s="61">
        <f>12.8931 * CHOOSE(CONTROL!$C$19, $C$13, 100%, $E$13)</f>
        <v>12.8931</v>
      </c>
      <c r="H748" s="61">
        <f>18.1183* CHOOSE(CONTROL!$C$19, $C$13, 100%, $E$13)</f>
        <v>18.118300000000001</v>
      </c>
      <c r="I748" s="61">
        <f>18.1185 * CHOOSE(CONTROL!$C$19, $C$13, 100%, $E$13)</f>
        <v>18.118500000000001</v>
      </c>
      <c r="J748" s="61">
        <f>12.8929 * CHOOSE(CONTROL!$C$19, $C$13, 100%, $E$13)</f>
        <v>12.892899999999999</v>
      </c>
      <c r="K748" s="61">
        <f>12.8931 * CHOOSE(CONTROL!$C$19, $C$13, 100%, $E$13)</f>
        <v>12.8931</v>
      </c>
    </row>
    <row r="749" spans="1:11" ht="15">
      <c r="A749" s="13">
        <v>64651</v>
      </c>
      <c r="B749" s="60">
        <f>10.8901 * CHOOSE(CONTROL!$C$19, $C$13, 100%, $E$13)</f>
        <v>10.8901</v>
      </c>
      <c r="C749" s="60">
        <f>10.8901 * CHOOSE(CONTROL!$C$19, $C$13, 100%, $E$13)</f>
        <v>10.8901</v>
      </c>
      <c r="D749" s="60">
        <f>10.9053 * CHOOSE(CONTROL!$C$19, $C$13, 100%, $E$13)</f>
        <v>10.9053</v>
      </c>
      <c r="E749" s="61">
        <f>12.9884 * CHOOSE(CONTROL!$C$19, $C$13, 100%, $E$13)</f>
        <v>12.9884</v>
      </c>
      <c r="F749" s="61">
        <f>12.9884 * CHOOSE(CONTROL!$C$19, $C$13, 100%, $E$13)</f>
        <v>12.9884</v>
      </c>
      <c r="G749" s="61">
        <f>12.9885 * CHOOSE(CONTROL!$C$19, $C$13, 100%, $E$13)</f>
        <v>12.9885</v>
      </c>
      <c r="H749" s="61">
        <f>18.0329* CHOOSE(CONTROL!$C$19, $C$13, 100%, $E$13)</f>
        <v>18.032900000000001</v>
      </c>
      <c r="I749" s="61">
        <f>18.033 * CHOOSE(CONTROL!$C$19, $C$13, 100%, $E$13)</f>
        <v>18.033000000000001</v>
      </c>
      <c r="J749" s="61">
        <f>12.9884 * CHOOSE(CONTROL!$C$19, $C$13, 100%, $E$13)</f>
        <v>12.9884</v>
      </c>
      <c r="K749" s="61">
        <f>12.9885 * CHOOSE(CONTROL!$C$19, $C$13, 100%, $E$13)</f>
        <v>12.9885</v>
      </c>
    </row>
    <row r="750" spans="1:11" ht="15">
      <c r="A750" s="13">
        <v>64682</v>
      </c>
      <c r="B750" s="60">
        <f>10.8871 * CHOOSE(CONTROL!$C$19, $C$13, 100%, $E$13)</f>
        <v>10.8871</v>
      </c>
      <c r="C750" s="60">
        <f>10.8871 * CHOOSE(CONTROL!$C$19, $C$13, 100%, $E$13)</f>
        <v>10.8871</v>
      </c>
      <c r="D750" s="60">
        <f>10.9022 * CHOOSE(CONTROL!$C$19, $C$13, 100%, $E$13)</f>
        <v>10.902200000000001</v>
      </c>
      <c r="E750" s="61">
        <f>12.7743 * CHOOSE(CONTROL!$C$19, $C$13, 100%, $E$13)</f>
        <v>12.7743</v>
      </c>
      <c r="F750" s="61">
        <f>12.7743 * CHOOSE(CONTROL!$C$19, $C$13, 100%, $E$13)</f>
        <v>12.7743</v>
      </c>
      <c r="G750" s="61">
        <f>12.7745 * CHOOSE(CONTROL!$C$19, $C$13, 100%, $E$13)</f>
        <v>12.7745</v>
      </c>
      <c r="H750" s="61">
        <f>18.0704* CHOOSE(CONTROL!$C$19, $C$13, 100%, $E$13)</f>
        <v>18.070399999999999</v>
      </c>
      <c r="I750" s="61">
        <f>18.0706 * CHOOSE(CONTROL!$C$19, $C$13, 100%, $E$13)</f>
        <v>18.070599999999999</v>
      </c>
      <c r="J750" s="61">
        <f>12.7743 * CHOOSE(CONTROL!$C$19, $C$13, 100%, $E$13)</f>
        <v>12.7743</v>
      </c>
      <c r="K750" s="61">
        <f>12.7745 * CHOOSE(CONTROL!$C$19, $C$13, 100%, $E$13)</f>
        <v>12.7745</v>
      </c>
    </row>
    <row r="751" spans="1:11" ht="15">
      <c r="A751" s="13">
        <v>64710</v>
      </c>
      <c r="B751" s="60">
        <f>10.884 * CHOOSE(CONTROL!$C$19, $C$13, 100%, $E$13)</f>
        <v>10.884</v>
      </c>
      <c r="C751" s="60">
        <f>10.884 * CHOOSE(CONTROL!$C$19, $C$13, 100%, $E$13)</f>
        <v>10.884</v>
      </c>
      <c r="D751" s="60">
        <f>10.8992 * CHOOSE(CONTROL!$C$19, $C$13, 100%, $E$13)</f>
        <v>10.8992</v>
      </c>
      <c r="E751" s="61">
        <f>12.9393 * CHOOSE(CONTROL!$C$19, $C$13, 100%, $E$13)</f>
        <v>12.939299999999999</v>
      </c>
      <c r="F751" s="61">
        <f>12.9393 * CHOOSE(CONTROL!$C$19, $C$13, 100%, $E$13)</f>
        <v>12.939299999999999</v>
      </c>
      <c r="G751" s="61">
        <f>12.9394 * CHOOSE(CONTROL!$C$19, $C$13, 100%, $E$13)</f>
        <v>12.939399999999999</v>
      </c>
      <c r="H751" s="61">
        <f>18.1081* CHOOSE(CONTROL!$C$19, $C$13, 100%, $E$13)</f>
        <v>18.1081</v>
      </c>
      <c r="I751" s="61">
        <f>18.1083 * CHOOSE(CONTROL!$C$19, $C$13, 100%, $E$13)</f>
        <v>18.1083</v>
      </c>
      <c r="J751" s="61">
        <f>12.9393 * CHOOSE(CONTROL!$C$19, $C$13, 100%, $E$13)</f>
        <v>12.939299999999999</v>
      </c>
      <c r="K751" s="61">
        <f>12.9394 * CHOOSE(CONTROL!$C$19, $C$13, 100%, $E$13)</f>
        <v>12.939399999999999</v>
      </c>
    </row>
    <row r="752" spans="1:11" ht="15">
      <c r="A752" s="13">
        <v>64741</v>
      </c>
      <c r="B752" s="60">
        <f>10.8885 * CHOOSE(CONTROL!$C$19, $C$13, 100%, $E$13)</f>
        <v>10.888500000000001</v>
      </c>
      <c r="C752" s="60">
        <f>10.8885 * CHOOSE(CONTROL!$C$19, $C$13, 100%, $E$13)</f>
        <v>10.888500000000001</v>
      </c>
      <c r="D752" s="60">
        <f>10.9037 * CHOOSE(CONTROL!$C$19, $C$13, 100%, $E$13)</f>
        <v>10.903700000000001</v>
      </c>
      <c r="E752" s="61">
        <f>13.1145 * CHOOSE(CONTROL!$C$19, $C$13, 100%, $E$13)</f>
        <v>13.1145</v>
      </c>
      <c r="F752" s="61">
        <f>13.1145 * CHOOSE(CONTROL!$C$19, $C$13, 100%, $E$13)</f>
        <v>13.1145</v>
      </c>
      <c r="G752" s="61">
        <f>13.1146 * CHOOSE(CONTROL!$C$19, $C$13, 100%, $E$13)</f>
        <v>13.114599999999999</v>
      </c>
      <c r="H752" s="61">
        <f>18.1458* CHOOSE(CONTROL!$C$19, $C$13, 100%, $E$13)</f>
        <v>18.145800000000001</v>
      </c>
      <c r="I752" s="61">
        <f>18.146 * CHOOSE(CONTROL!$C$19, $C$13, 100%, $E$13)</f>
        <v>18.146000000000001</v>
      </c>
      <c r="J752" s="61">
        <f>13.1145 * CHOOSE(CONTROL!$C$19, $C$13, 100%, $E$13)</f>
        <v>13.1145</v>
      </c>
      <c r="K752" s="61">
        <f>13.1146 * CHOOSE(CONTROL!$C$19, $C$13, 100%, $E$13)</f>
        <v>13.114599999999999</v>
      </c>
    </row>
    <row r="753" spans="1:11" ht="15">
      <c r="A753" s="13">
        <v>64771</v>
      </c>
      <c r="B753" s="60">
        <f>10.8885 * CHOOSE(CONTROL!$C$19, $C$13, 100%, $E$13)</f>
        <v>10.888500000000001</v>
      </c>
      <c r="C753" s="60">
        <f>10.8885 * CHOOSE(CONTROL!$C$19, $C$13, 100%, $E$13)</f>
        <v>10.888500000000001</v>
      </c>
      <c r="D753" s="60">
        <f>10.9188 * CHOOSE(CONTROL!$C$19, $C$13, 100%, $E$13)</f>
        <v>10.918799999999999</v>
      </c>
      <c r="E753" s="61">
        <f>13.1817 * CHOOSE(CONTROL!$C$19, $C$13, 100%, $E$13)</f>
        <v>13.181699999999999</v>
      </c>
      <c r="F753" s="61">
        <f>13.1817 * CHOOSE(CONTROL!$C$19, $C$13, 100%, $E$13)</f>
        <v>13.181699999999999</v>
      </c>
      <c r="G753" s="61">
        <f>13.1836 * CHOOSE(CONTROL!$C$19, $C$13, 100%, $E$13)</f>
        <v>13.1836</v>
      </c>
      <c r="H753" s="61">
        <f>18.1836* CHOOSE(CONTROL!$C$19, $C$13, 100%, $E$13)</f>
        <v>18.183599999999998</v>
      </c>
      <c r="I753" s="61">
        <f>18.1855 * CHOOSE(CONTROL!$C$19, $C$13, 100%, $E$13)</f>
        <v>18.185500000000001</v>
      </c>
      <c r="J753" s="61">
        <f>13.1817 * CHOOSE(CONTROL!$C$19, $C$13, 100%, $E$13)</f>
        <v>13.181699999999999</v>
      </c>
      <c r="K753" s="61">
        <f>13.1836 * CHOOSE(CONTROL!$C$19, $C$13, 100%, $E$13)</f>
        <v>13.1836</v>
      </c>
    </row>
    <row r="754" spans="1:11" ht="15">
      <c r="A754" s="13">
        <v>64802</v>
      </c>
      <c r="B754" s="60">
        <f>10.8946 * CHOOSE(CONTROL!$C$19, $C$13, 100%, $E$13)</f>
        <v>10.894600000000001</v>
      </c>
      <c r="C754" s="60">
        <f>10.8946 * CHOOSE(CONTROL!$C$19, $C$13, 100%, $E$13)</f>
        <v>10.894600000000001</v>
      </c>
      <c r="D754" s="60">
        <f>10.9249 * CHOOSE(CONTROL!$C$19, $C$13, 100%, $E$13)</f>
        <v>10.924899999999999</v>
      </c>
      <c r="E754" s="61">
        <f>13.1187 * CHOOSE(CONTROL!$C$19, $C$13, 100%, $E$13)</f>
        <v>13.1187</v>
      </c>
      <c r="F754" s="61">
        <f>13.1187 * CHOOSE(CONTROL!$C$19, $C$13, 100%, $E$13)</f>
        <v>13.1187</v>
      </c>
      <c r="G754" s="61">
        <f>13.1206 * CHOOSE(CONTROL!$C$19, $C$13, 100%, $E$13)</f>
        <v>13.1206</v>
      </c>
      <c r="H754" s="61">
        <f>18.2215* CHOOSE(CONTROL!$C$19, $C$13, 100%, $E$13)</f>
        <v>18.221499999999999</v>
      </c>
      <c r="I754" s="61">
        <f>18.2234 * CHOOSE(CONTROL!$C$19, $C$13, 100%, $E$13)</f>
        <v>18.223400000000002</v>
      </c>
      <c r="J754" s="61">
        <f>13.1187 * CHOOSE(CONTROL!$C$19, $C$13, 100%, $E$13)</f>
        <v>13.1187</v>
      </c>
      <c r="K754" s="61">
        <f>13.1206 * CHOOSE(CONTROL!$C$19, $C$13, 100%, $E$13)</f>
        <v>13.1206</v>
      </c>
    </row>
    <row r="755" spans="1:11" ht="15">
      <c r="A755" s="13">
        <v>64832</v>
      </c>
      <c r="B755" s="60">
        <f>11.0477 * CHOOSE(CONTROL!$C$19, $C$13, 100%, $E$13)</f>
        <v>11.047700000000001</v>
      </c>
      <c r="C755" s="60">
        <f>11.0477 * CHOOSE(CONTROL!$C$19, $C$13, 100%, $E$13)</f>
        <v>11.047700000000001</v>
      </c>
      <c r="D755" s="60">
        <f>11.0781 * CHOOSE(CONTROL!$C$19, $C$13, 100%, $E$13)</f>
        <v>11.078099999999999</v>
      </c>
      <c r="E755" s="61">
        <f>13.3584 * CHOOSE(CONTROL!$C$19, $C$13, 100%, $E$13)</f>
        <v>13.3584</v>
      </c>
      <c r="F755" s="61">
        <f>13.3584 * CHOOSE(CONTROL!$C$19, $C$13, 100%, $E$13)</f>
        <v>13.3584</v>
      </c>
      <c r="G755" s="61">
        <f>13.3603 * CHOOSE(CONTROL!$C$19, $C$13, 100%, $E$13)</f>
        <v>13.360300000000001</v>
      </c>
      <c r="H755" s="61">
        <f>18.2595* CHOOSE(CONTROL!$C$19, $C$13, 100%, $E$13)</f>
        <v>18.259499999999999</v>
      </c>
      <c r="I755" s="61">
        <f>18.2614 * CHOOSE(CONTROL!$C$19, $C$13, 100%, $E$13)</f>
        <v>18.261399999999998</v>
      </c>
      <c r="J755" s="61">
        <f>13.3584 * CHOOSE(CONTROL!$C$19, $C$13, 100%, $E$13)</f>
        <v>13.3584</v>
      </c>
      <c r="K755" s="61">
        <f>13.3603 * CHOOSE(CONTROL!$C$19, $C$13, 100%, $E$13)</f>
        <v>13.360300000000001</v>
      </c>
    </row>
    <row r="756" spans="1:11" ht="15">
      <c r="A756" s="13">
        <v>64863</v>
      </c>
      <c r="B756" s="60">
        <f>11.0544 * CHOOSE(CONTROL!$C$19, $C$13, 100%, $E$13)</f>
        <v>11.054399999999999</v>
      </c>
      <c r="C756" s="60">
        <f>11.0544 * CHOOSE(CONTROL!$C$19, $C$13, 100%, $E$13)</f>
        <v>11.054399999999999</v>
      </c>
      <c r="D756" s="60">
        <f>11.0848 * CHOOSE(CONTROL!$C$19, $C$13, 100%, $E$13)</f>
        <v>11.0848</v>
      </c>
      <c r="E756" s="61">
        <f>13.1612 * CHOOSE(CONTROL!$C$19, $C$13, 100%, $E$13)</f>
        <v>13.161199999999999</v>
      </c>
      <c r="F756" s="61">
        <f>13.1612 * CHOOSE(CONTROL!$C$19, $C$13, 100%, $E$13)</f>
        <v>13.161199999999999</v>
      </c>
      <c r="G756" s="61">
        <f>13.1631 * CHOOSE(CONTROL!$C$19, $C$13, 100%, $E$13)</f>
        <v>13.1631</v>
      </c>
      <c r="H756" s="61">
        <f>18.2975* CHOOSE(CONTROL!$C$19, $C$13, 100%, $E$13)</f>
        <v>18.297499999999999</v>
      </c>
      <c r="I756" s="61">
        <f>18.2994 * CHOOSE(CONTROL!$C$19, $C$13, 100%, $E$13)</f>
        <v>18.299399999999999</v>
      </c>
      <c r="J756" s="61">
        <f>13.1612 * CHOOSE(CONTROL!$C$19, $C$13, 100%, $E$13)</f>
        <v>13.161199999999999</v>
      </c>
      <c r="K756" s="61">
        <f>13.1631 * CHOOSE(CONTROL!$C$19, $C$13, 100%, $E$13)</f>
        <v>13.1631</v>
      </c>
    </row>
    <row r="757" spans="1:11" ht="15">
      <c r="A757" s="13">
        <v>64894</v>
      </c>
      <c r="B757" s="60">
        <f>11.0514 * CHOOSE(CONTROL!$C$19, $C$13, 100%, $E$13)</f>
        <v>11.051399999999999</v>
      </c>
      <c r="C757" s="60">
        <f>11.0514 * CHOOSE(CONTROL!$C$19, $C$13, 100%, $E$13)</f>
        <v>11.051399999999999</v>
      </c>
      <c r="D757" s="60">
        <f>11.0817 * CHOOSE(CONTROL!$C$19, $C$13, 100%, $E$13)</f>
        <v>11.0817</v>
      </c>
      <c r="E757" s="61">
        <f>13.1366 * CHOOSE(CONTROL!$C$19, $C$13, 100%, $E$13)</f>
        <v>13.1366</v>
      </c>
      <c r="F757" s="61">
        <f>13.1366 * CHOOSE(CONTROL!$C$19, $C$13, 100%, $E$13)</f>
        <v>13.1366</v>
      </c>
      <c r="G757" s="61">
        <f>13.1385 * CHOOSE(CONTROL!$C$19, $C$13, 100%, $E$13)</f>
        <v>13.138500000000001</v>
      </c>
      <c r="H757" s="61">
        <f>18.3356* CHOOSE(CONTROL!$C$19, $C$13, 100%, $E$13)</f>
        <v>18.335599999999999</v>
      </c>
      <c r="I757" s="61">
        <f>18.3375 * CHOOSE(CONTROL!$C$19, $C$13, 100%, $E$13)</f>
        <v>18.337499999999999</v>
      </c>
      <c r="J757" s="61">
        <f>13.1366 * CHOOSE(CONTROL!$C$19, $C$13, 100%, $E$13)</f>
        <v>13.1366</v>
      </c>
      <c r="K757" s="61">
        <f>13.1385 * CHOOSE(CONTROL!$C$19, $C$13, 100%, $E$13)</f>
        <v>13.138500000000001</v>
      </c>
    </row>
    <row r="758" spans="1:11" ht="15">
      <c r="A758" s="13">
        <v>64924</v>
      </c>
      <c r="B758" s="60">
        <f>11.0732 * CHOOSE(CONTROL!$C$19, $C$13, 100%, $E$13)</f>
        <v>11.0732</v>
      </c>
      <c r="C758" s="60">
        <f>11.0732 * CHOOSE(CONTROL!$C$19, $C$13, 100%, $E$13)</f>
        <v>11.0732</v>
      </c>
      <c r="D758" s="60">
        <f>11.0884 * CHOOSE(CONTROL!$C$19, $C$13, 100%, $E$13)</f>
        <v>11.0884</v>
      </c>
      <c r="E758" s="61">
        <f>13.2129 * CHOOSE(CONTROL!$C$19, $C$13, 100%, $E$13)</f>
        <v>13.212899999999999</v>
      </c>
      <c r="F758" s="61">
        <f>13.2129 * CHOOSE(CONTROL!$C$19, $C$13, 100%, $E$13)</f>
        <v>13.212899999999999</v>
      </c>
      <c r="G758" s="61">
        <f>13.2131 * CHOOSE(CONTROL!$C$19, $C$13, 100%, $E$13)</f>
        <v>13.213100000000001</v>
      </c>
      <c r="H758" s="61">
        <f>18.3738* CHOOSE(CONTROL!$C$19, $C$13, 100%, $E$13)</f>
        <v>18.373799999999999</v>
      </c>
      <c r="I758" s="61">
        <f>18.374 * CHOOSE(CONTROL!$C$19, $C$13, 100%, $E$13)</f>
        <v>18.373999999999999</v>
      </c>
      <c r="J758" s="61">
        <f>13.2129 * CHOOSE(CONTROL!$C$19, $C$13, 100%, $E$13)</f>
        <v>13.212899999999999</v>
      </c>
      <c r="K758" s="61">
        <f>13.2131 * CHOOSE(CONTROL!$C$19, $C$13, 100%, $E$13)</f>
        <v>13.213100000000001</v>
      </c>
    </row>
    <row r="759" spans="1:11" ht="15">
      <c r="A759" s="13">
        <v>64955</v>
      </c>
      <c r="B759" s="60">
        <f>11.0762 * CHOOSE(CONTROL!$C$19, $C$13, 100%, $E$13)</f>
        <v>11.0762</v>
      </c>
      <c r="C759" s="60">
        <f>11.0762 * CHOOSE(CONTROL!$C$19, $C$13, 100%, $E$13)</f>
        <v>11.0762</v>
      </c>
      <c r="D759" s="60">
        <f>11.0914 * CHOOSE(CONTROL!$C$19, $C$13, 100%, $E$13)</f>
        <v>11.0914</v>
      </c>
      <c r="E759" s="61">
        <f>13.2599 * CHOOSE(CONTROL!$C$19, $C$13, 100%, $E$13)</f>
        <v>13.2599</v>
      </c>
      <c r="F759" s="61">
        <f>13.2599 * CHOOSE(CONTROL!$C$19, $C$13, 100%, $E$13)</f>
        <v>13.2599</v>
      </c>
      <c r="G759" s="61">
        <f>13.2601 * CHOOSE(CONTROL!$C$19, $C$13, 100%, $E$13)</f>
        <v>13.2601</v>
      </c>
      <c r="H759" s="61">
        <f>18.4121* CHOOSE(CONTROL!$C$19, $C$13, 100%, $E$13)</f>
        <v>18.412099999999999</v>
      </c>
      <c r="I759" s="61">
        <f>18.4123 * CHOOSE(CONTROL!$C$19, $C$13, 100%, $E$13)</f>
        <v>18.412299999999998</v>
      </c>
      <c r="J759" s="61">
        <f>13.2599 * CHOOSE(CONTROL!$C$19, $C$13, 100%, $E$13)</f>
        <v>13.2599</v>
      </c>
      <c r="K759" s="61">
        <f>13.2601 * CHOOSE(CONTROL!$C$19, $C$13, 100%, $E$13)</f>
        <v>13.2601</v>
      </c>
    </row>
    <row r="760" spans="1:11" ht="15">
      <c r="A760" s="13">
        <v>64985</v>
      </c>
      <c r="B760" s="60">
        <f>11.0762 * CHOOSE(CONTROL!$C$19, $C$13, 100%, $E$13)</f>
        <v>11.0762</v>
      </c>
      <c r="C760" s="60">
        <f>11.0762 * CHOOSE(CONTROL!$C$19, $C$13, 100%, $E$13)</f>
        <v>11.0762</v>
      </c>
      <c r="D760" s="60">
        <f>11.0914 * CHOOSE(CONTROL!$C$19, $C$13, 100%, $E$13)</f>
        <v>11.0914</v>
      </c>
      <c r="E760" s="61">
        <f>13.1478 * CHOOSE(CONTROL!$C$19, $C$13, 100%, $E$13)</f>
        <v>13.1478</v>
      </c>
      <c r="F760" s="61">
        <f>13.1478 * CHOOSE(CONTROL!$C$19, $C$13, 100%, $E$13)</f>
        <v>13.1478</v>
      </c>
      <c r="G760" s="61">
        <f>13.1479 * CHOOSE(CONTROL!$C$19, $C$13, 100%, $E$13)</f>
        <v>13.1479</v>
      </c>
      <c r="H760" s="61">
        <f>18.4505* CHOOSE(CONTROL!$C$19, $C$13, 100%, $E$13)</f>
        <v>18.450500000000002</v>
      </c>
      <c r="I760" s="61">
        <f>18.4506 * CHOOSE(CONTROL!$C$19, $C$13, 100%, $E$13)</f>
        <v>18.450600000000001</v>
      </c>
      <c r="J760" s="61">
        <f>13.1478 * CHOOSE(CONTROL!$C$19, $C$13, 100%, $E$13)</f>
        <v>13.1478</v>
      </c>
      <c r="K760" s="61">
        <f>13.1479 * CHOOSE(CONTROL!$C$19, $C$13, 100%, $E$13)</f>
        <v>13.1479</v>
      </c>
    </row>
    <row r="761" spans="1:11" ht="15">
      <c r="A761" s="13">
        <v>65016</v>
      </c>
      <c r="B761" s="60">
        <f>11.0867 * CHOOSE(CONTROL!$C$19, $C$13, 100%, $E$13)</f>
        <v>11.0867</v>
      </c>
      <c r="C761" s="60">
        <f>11.0867 * CHOOSE(CONTROL!$C$19, $C$13, 100%, $E$13)</f>
        <v>11.0867</v>
      </c>
      <c r="D761" s="60">
        <f>11.1019 * CHOOSE(CONTROL!$C$19, $C$13, 100%, $E$13)</f>
        <v>11.101900000000001</v>
      </c>
      <c r="E761" s="61">
        <f>13.2402 * CHOOSE(CONTROL!$C$19, $C$13, 100%, $E$13)</f>
        <v>13.2402</v>
      </c>
      <c r="F761" s="61">
        <f>13.2402 * CHOOSE(CONTROL!$C$19, $C$13, 100%, $E$13)</f>
        <v>13.2402</v>
      </c>
      <c r="G761" s="61">
        <f>13.2404 * CHOOSE(CONTROL!$C$19, $C$13, 100%, $E$13)</f>
        <v>13.240399999999999</v>
      </c>
      <c r="H761" s="61">
        <f>18.3575* CHOOSE(CONTROL!$C$19, $C$13, 100%, $E$13)</f>
        <v>18.357500000000002</v>
      </c>
      <c r="I761" s="61">
        <f>18.3577 * CHOOSE(CONTROL!$C$19, $C$13, 100%, $E$13)</f>
        <v>18.357700000000001</v>
      </c>
      <c r="J761" s="61">
        <f>13.2402 * CHOOSE(CONTROL!$C$19, $C$13, 100%, $E$13)</f>
        <v>13.2402</v>
      </c>
      <c r="K761" s="61">
        <f>13.2404 * CHOOSE(CONTROL!$C$19, $C$13, 100%, $E$13)</f>
        <v>13.240399999999999</v>
      </c>
    </row>
    <row r="762" spans="1:11" ht="15">
      <c r="A762" s="13">
        <v>65047</v>
      </c>
      <c r="B762" s="60">
        <f>11.0837 * CHOOSE(CONTROL!$C$19, $C$13, 100%, $E$13)</f>
        <v>11.0837</v>
      </c>
      <c r="C762" s="60">
        <f>11.0837 * CHOOSE(CONTROL!$C$19, $C$13, 100%, $E$13)</f>
        <v>11.0837</v>
      </c>
      <c r="D762" s="60">
        <f>11.0989 * CHOOSE(CONTROL!$C$19, $C$13, 100%, $E$13)</f>
        <v>11.0989</v>
      </c>
      <c r="E762" s="61">
        <f>13.0217 * CHOOSE(CONTROL!$C$19, $C$13, 100%, $E$13)</f>
        <v>13.021699999999999</v>
      </c>
      <c r="F762" s="61">
        <f>13.0217 * CHOOSE(CONTROL!$C$19, $C$13, 100%, $E$13)</f>
        <v>13.021699999999999</v>
      </c>
      <c r="G762" s="61">
        <f>13.0219 * CHOOSE(CONTROL!$C$19, $C$13, 100%, $E$13)</f>
        <v>13.0219</v>
      </c>
      <c r="H762" s="61">
        <f>18.3958* CHOOSE(CONTROL!$C$19, $C$13, 100%, $E$13)</f>
        <v>18.395800000000001</v>
      </c>
      <c r="I762" s="61">
        <f>18.396 * CHOOSE(CONTROL!$C$19, $C$13, 100%, $E$13)</f>
        <v>18.396000000000001</v>
      </c>
      <c r="J762" s="61">
        <f>13.0217 * CHOOSE(CONTROL!$C$19, $C$13, 100%, $E$13)</f>
        <v>13.021699999999999</v>
      </c>
      <c r="K762" s="61">
        <f>13.0219 * CHOOSE(CONTROL!$C$19, $C$13, 100%, $E$13)</f>
        <v>13.0219</v>
      </c>
    </row>
    <row r="763" spans="1:11" ht="15">
      <c r="A763" s="13">
        <v>65075</v>
      </c>
      <c r="B763" s="60">
        <f>11.0806 * CHOOSE(CONTROL!$C$19, $C$13, 100%, $E$13)</f>
        <v>11.0806</v>
      </c>
      <c r="C763" s="60">
        <f>11.0806 * CHOOSE(CONTROL!$C$19, $C$13, 100%, $E$13)</f>
        <v>11.0806</v>
      </c>
      <c r="D763" s="60">
        <f>11.0958 * CHOOSE(CONTROL!$C$19, $C$13, 100%, $E$13)</f>
        <v>11.095800000000001</v>
      </c>
      <c r="E763" s="61">
        <f>13.1902 * CHOOSE(CONTROL!$C$19, $C$13, 100%, $E$13)</f>
        <v>13.190200000000001</v>
      </c>
      <c r="F763" s="61">
        <f>13.1902 * CHOOSE(CONTROL!$C$19, $C$13, 100%, $E$13)</f>
        <v>13.190200000000001</v>
      </c>
      <c r="G763" s="61">
        <f>13.1903 * CHOOSE(CONTROL!$C$19, $C$13, 100%, $E$13)</f>
        <v>13.190300000000001</v>
      </c>
      <c r="H763" s="61">
        <f>18.4341* CHOOSE(CONTROL!$C$19, $C$13, 100%, $E$13)</f>
        <v>18.434100000000001</v>
      </c>
      <c r="I763" s="61">
        <f>18.4343 * CHOOSE(CONTROL!$C$19, $C$13, 100%, $E$13)</f>
        <v>18.4343</v>
      </c>
      <c r="J763" s="61">
        <f>13.1902 * CHOOSE(CONTROL!$C$19, $C$13, 100%, $E$13)</f>
        <v>13.190200000000001</v>
      </c>
      <c r="K763" s="61">
        <f>13.1903 * CHOOSE(CONTROL!$C$19, $C$13, 100%, $E$13)</f>
        <v>13.190300000000001</v>
      </c>
    </row>
    <row r="764" spans="1:11" ht="15">
      <c r="A764" s="13">
        <v>65106</v>
      </c>
      <c r="B764" s="60">
        <f>11.0853 * CHOOSE(CONTROL!$C$19, $C$13, 100%, $E$13)</f>
        <v>11.0853</v>
      </c>
      <c r="C764" s="60">
        <f>11.0853 * CHOOSE(CONTROL!$C$19, $C$13, 100%, $E$13)</f>
        <v>11.0853</v>
      </c>
      <c r="D764" s="60">
        <f>11.1005 * CHOOSE(CONTROL!$C$19, $C$13, 100%, $E$13)</f>
        <v>11.1005</v>
      </c>
      <c r="E764" s="61">
        <f>13.3691 * CHOOSE(CONTROL!$C$19, $C$13, 100%, $E$13)</f>
        <v>13.3691</v>
      </c>
      <c r="F764" s="61">
        <f>13.3691 * CHOOSE(CONTROL!$C$19, $C$13, 100%, $E$13)</f>
        <v>13.3691</v>
      </c>
      <c r="G764" s="61">
        <f>13.3693 * CHOOSE(CONTROL!$C$19, $C$13, 100%, $E$13)</f>
        <v>13.369300000000001</v>
      </c>
      <c r="H764" s="61">
        <f>18.4725* CHOOSE(CONTROL!$C$19, $C$13, 100%, $E$13)</f>
        <v>18.4725</v>
      </c>
      <c r="I764" s="61">
        <f>18.4727 * CHOOSE(CONTROL!$C$19, $C$13, 100%, $E$13)</f>
        <v>18.4727</v>
      </c>
      <c r="J764" s="61">
        <f>13.3691 * CHOOSE(CONTROL!$C$19, $C$13, 100%, $E$13)</f>
        <v>13.3691</v>
      </c>
      <c r="K764" s="61">
        <f>13.3693 * CHOOSE(CONTROL!$C$19, $C$13, 100%, $E$13)</f>
        <v>13.369300000000001</v>
      </c>
    </row>
    <row r="765" spans="1:11" ht="15">
      <c r="A765" s="13">
        <v>65136</v>
      </c>
      <c r="B765" s="60">
        <f>11.0853 * CHOOSE(CONTROL!$C$19, $C$13, 100%, $E$13)</f>
        <v>11.0853</v>
      </c>
      <c r="C765" s="60">
        <f>11.0853 * CHOOSE(CONTROL!$C$19, $C$13, 100%, $E$13)</f>
        <v>11.0853</v>
      </c>
      <c r="D765" s="60">
        <f>11.1156 * CHOOSE(CONTROL!$C$19, $C$13, 100%, $E$13)</f>
        <v>11.115600000000001</v>
      </c>
      <c r="E765" s="61">
        <f>13.4378 * CHOOSE(CONTROL!$C$19, $C$13, 100%, $E$13)</f>
        <v>13.437799999999999</v>
      </c>
      <c r="F765" s="61">
        <f>13.4378 * CHOOSE(CONTROL!$C$19, $C$13, 100%, $E$13)</f>
        <v>13.437799999999999</v>
      </c>
      <c r="G765" s="61">
        <f>13.4397 * CHOOSE(CONTROL!$C$19, $C$13, 100%, $E$13)</f>
        <v>13.4397</v>
      </c>
      <c r="H765" s="61">
        <f>18.511* CHOOSE(CONTROL!$C$19, $C$13, 100%, $E$13)</f>
        <v>18.510999999999999</v>
      </c>
      <c r="I765" s="61">
        <f>18.5129 * CHOOSE(CONTROL!$C$19, $C$13, 100%, $E$13)</f>
        <v>18.512899999999998</v>
      </c>
      <c r="J765" s="61">
        <f>13.4378 * CHOOSE(CONTROL!$C$19, $C$13, 100%, $E$13)</f>
        <v>13.437799999999999</v>
      </c>
      <c r="K765" s="61">
        <f>13.4397 * CHOOSE(CONTROL!$C$19, $C$13, 100%, $E$13)</f>
        <v>13.4397</v>
      </c>
    </row>
    <row r="766" spans="1:11" ht="15">
      <c r="A766" s="13">
        <v>65167</v>
      </c>
      <c r="B766" s="60">
        <f>11.0914 * CHOOSE(CONTROL!$C$19, $C$13, 100%, $E$13)</f>
        <v>11.0914</v>
      </c>
      <c r="C766" s="60">
        <f>11.0914 * CHOOSE(CONTROL!$C$19, $C$13, 100%, $E$13)</f>
        <v>11.0914</v>
      </c>
      <c r="D766" s="60">
        <f>11.1217 * CHOOSE(CONTROL!$C$19, $C$13, 100%, $E$13)</f>
        <v>11.121700000000001</v>
      </c>
      <c r="E766" s="61">
        <f>13.3734 * CHOOSE(CONTROL!$C$19, $C$13, 100%, $E$13)</f>
        <v>13.3734</v>
      </c>
      <c r="F766" s="61">
        <f>13.3734 * CHOOSE(CONTROL!$C$19, $C$13, 100%, $E$13)</f>
        <v>13.3734</v>
      </c>
      <c r="G766" s="61">
        <f>13.3753 * CHOOSE(CONTROL!$C$19, $C$13, 100%, $E$13)</f>
        <v>13.375299999999999</v>
      </c>
      <c r="H766" s="61">
        <f>18.5496* CHOOSE(CONTROL!$C$19, $C$13, 100%, $E$13)</f>
        <v>18.549600000000002</v>
      </c>
      <c r="I766" s="61">
        <f>18.5515 * CHOOSE(CONTROL!$C$19, $C$13, 100%, $E$13)</f>
        <v>18.551500000000001</v>
      </c>
      <c r="J766" s="61">
        <f>13.3734 * CHOOSE(CONTROL!$C$19, $C$13, 100%, $E$13)</f>
        <v>13.3734</v>
      </c>
      <c r="K766" s="61">
        <f>13.3753 * CHOOSE(CONTROL!$C$19, $C$13, 100%, $E$13)</f>
        <v>13.375299999999999</v>
      </c>
    </row>
    <row r="767" spans="1:11" ht="15">
      <c r="A767" s="13">
        <v>65197</v>
      </c>
      <c r="B767" s="60">
        <f>11.247 * CHOOSE(CONTROL!$C$19, $C$13, 100%, $E$13)</f>
        <v>11.247</v>
      </c>
      <c r="C767" s="60">
        <f>11.247 * CHOOSE(CONTROL!$C$19, $C$13, 100%, $E$13)</f>
        <v>11.247</v>
      </c>
      <c r="D767" s="60">
        <f>11.2774 * CHOOSE(CONTROL!$C$19, $C$13, 100%, $E$13)</f>
        <v>11.2774</v>
      </c>
      <c r="E767" s="61">
        <f>13.6175 * CHOOSE(CONTROL!$C$19, $C$13, 100%, $E$13)</f>
        <v>13.6175</v>
      </c>
      <c r="F767" s="61">
        <f>13.6175 * CHOOSE(CONTROL!$C$19, $C$13, 100%, $E$13)</f>
        <v>13.6175</v>
      </c>
      <c r="G767" s="61">
        <f>13.6194 * CHOOSE(CONTROL!$C$19, $C$13, 100%, $E$13)</f>
        <v>13.619400000000001</v>
      </c>
      <c r="H767" s="61">
        <f>18.5882* CHOOSE(CONTROL!$C$19, $C$13, 100%, $E$13)</f>
        <v>18.588200000000001</v>
      </c>
      <c r="I767" s="61">
        <f>18.5901 * CHOOSE(CONTROL!$C$19, $C$13, 100%, $E$13)</f>
        <v>18.5901</v>
      </c>
      <c r="J767" s="61">
        <f>13.6175 * CHOOSE(CONTROL!$C$19, $C$13, 100%, $E$13)</f>
        <v>13.6175</v>
      </c>
      <c r="K767" s="61">
        <f>13.6194 * CHOOSE(CONTROL!$C$19, $C$13, 100%, $E$13)</f>
        <v>13.619400000000001</v>
      </c>
    </row>
    <row r="768" spans="1:11" ht="15">
      <c r="A768" s="13">
        <v>65228</v>
      </c>
      <c r="B768" s="60">
        <f>11.2537 * CHOOSE(CONTROL!$C$19, $C$13, 100%, $E$13)</f>
        <v>11.2537</v>
      </c>
      <c r="C768" s="60">
        <f>11.2537 * CHOOSE(CONTROL!$C$19, $C$13, 100%, $E$13)</f>
        <v>11.2537</v>
      </c>
      <c r="D768" s="60">
        <f>11.2841 * CHOOSE(CONTROL!$C$19, $C$13, 100%, $E$13)</f>
        <v>11.2841</v>
      </c>
      <c r="E768" s="61">
        <f>13.416 * CHOOSE(CONTROL!$C$19, $C$13, 100%, $E$13)</f>
        <v>13.416</v>
      </c>
      <c r="F768" s="61">
        <f>13.416 * CHOOSE(CONTROL!$C$19, $C$13, 100%, $E$13)</f>
        <v>13.416</v>
      </c>
      <c r="G768" s="61">
        <f>13.4179 * CHOOSE(CONTROL!$C$19, $C$13, 100%, $E$13)</f>
        <v>13.417899999999999</v>
      </c>
      <c r="H768" s="61">
        <f>18.6269* CHOOSE(CONTROL!$C$19, $C$13, 100%, $E$13)</f>
        <v>18.626899999999999</v>
      </c>
      <c r="I768" s="61">
        <f>18.6288 * CHOOSE(CONTROL!$C$19, $C$13, 100%, $E$13)</f>
        <v>18.628799999999998</v>
      </c>
      <c r="J768" s="61">
        <f>13.416 * CHOOSE(CONTROL!$C$19, $C$13, 100%, $E$13)</f>
        <v>13.416</v>
      </c>
      <c r="K768" s="61">
        <f>13.4179 * CHOOSE(CONTROL!$C$19, $C$13, 100%, $E$13)</f>
        <v>13.417899999999999</v>
      </c>
    </row>
    <row r="769" spans="1:11" ht="15">
      <c r="A769" s="13">
        <v>65259</v>
      </c>
      <c r="B769" s="60">
        <f>11.2507 * CHOOSE(CONTROL!$C$19, $C$13, 100%, $E$13)</f>
        <v>11.2507</v>
      </c>
      <c r="C769" s="60">
        <f>11.2507 * CHOOSE(CONTROL!$C$19, $C$13, 100%, $E$13)</f>
        <v>11.2507</v>
      </c>
      <c r="D769" s="60">
        <f>11.281 * CHOOSE(CONTROL!$C$19, $C$13, 100%, $E$13)</f>
        <v>11.281000000000001</v>
      </c>
      <c r="E769" s="61">
        <f>13.391 * CHOOSE(CONTROL!$C$19, $C$13, 100%, $E$13)</f>
        <v>13.391</v>
      </c>
      <c r="F769" s="61">
        <f>13.391 * CHOOSE(CONTROL!$C$19, $C$13, 100%, $E$13)</f>
        <v>13.391</v>
      </c>
      <c r="G769" s="61">
        <f>13.3929 * CHOOSE(CONTROL!$C$19, $C$13, 100%, $E$13)</f>
        <v>13.392899999999999</v>
      </c>
      <c r="H769" s="61">
        <f>18.6657* CHOOSE(CONTROL!$C$19, $C$13, 100%, $E$13)</f>
        <v>18.665700000000001</v>
      </c>
      <c r="I769" s="61">
        <f>18.6676 * CHOOSE(CONTROL!$C$19, $C$13, 100%, $E$13)</f>
        <v>18.6676</v>
      </c>
      <c r="J769" s="61">
        <f>13.391 * CHOOSE(CONTROL!$C$19, $C$13, 100%, $E$13)</f>
        <v>13.391</v>
      </c>
      <c r="K769" s="61">
        <f>13.3929 * CHOOSE(CONTROL!$C$19, $C$13, 100%, $E$13)</f>
        <v>13.392899999999999</v>
      </c>
    </row>
    <row r="770" spans="1:11" ht="15">
      <c r="A770" s="13">
        <v>65289</v>
      </c>
      <c r="B770" s="60">
        <f>11.2733 * CHOOSE(CONTROL!$C$19, $C$13, 100%, $E$13)</f>
        <v>11.273300000000001</v>
      </c>
      <c r="C770" s="60">
        <f>11.2733 * CHOOSE(CONTROL!$C$19, $C$13, 100%, $E$13)</f>
        <v>11.273300000000001</v>
      </c>
      <c r="D770" s="60">
        <f>11.2885 * CHOOSE(CONTROL!$C$19, $C$13, 100%, $E$13)</f>
        <v>11.288500000000001</v>
      </c>
      <c r="E770" s="61">
        <f>13.4692 * CHOOSE(CONTROL!$C$19, $C$13, 100%, $E$13)</f>
        <v>13.469200000000001</v>
      </c>
      <c r="F770" s="61">
        <f>13.4692 * CHOOSE(CONTROL!$C$19, $C$13, 100%, $E$13)</f>
        <v>13.469200000000001</v>
      </c>
      <c r="G770" s="61">
        <f>13.4694 * CHOOSE(CONTROL!$C$19, $C$13, 100%, $E$13)</f>
        <v>13.4694</v>
      </c>
      <c r="H770" s="61">
        <f>18.7046* CHOOSE(CONTROL!$C$19, $C$13, 100%, $E$13)</f>
        <v>18.704599999999999</v>
      </c>
      <c r="I770" s="61">
        <f>18.7048 * CHOOSE(CONTROL!$C$19, $C$13, 100%, $E$13)</f>
        <v>18.704799999999999</v>
      </c>
      <c r="J770" s="61">
        <f>13.4692 * CHOOSE(CONTROL!$C$19, $C$13, 100%, $E$13)</f>
        <v>13.469200000000001</v>
      </c>
      <c r="K770" s="61">
        <f>13.4694 * CHOOSE(CONTROL!$C$19, $C$13, 100%, $E$13)</f>
        <v>13.4694</v>
      </c>
    </row>
    <row r="771" spans="1:11" ht="15">
      <c r="A771" s="13">
        <v>65320</v>
      </c>
      <c r="B771" s="60">
        <f>11.2763 * CHOOSE(CONTROL!$C$19, $C$13, 100%, $E$13)</f>
        <v>11.276300000000001</v>
      </c>
      <c r="C771" s="60">
        <f>11.2763 * CHOOSE(CONTROL!$C$19, $C$13, 100%, $E$13)</f>
        <v>11.276300000000001</v>
      </c>
      <c r="D771" s="60">
        <f>11.2915 * CHOOSE(CONTROL!$C$19, $C$13, 100%, $E$13)</f>
        <v>11.291499999999999</v>
      </c>
      <c r="E771" s="61">
        <f>13.5171 * CHOOSE(CONTROL!$C$19, $C$13, 100%, $E$13)</f>
        <v>13.517099999999999</v>
      </c>
      <c r="F771" s="61">
        <f>13.5171 * CHOOSE(CONTROL!$C$19, $C$13, 100%, $E$13)</f>
        <v>13.517099999999999</v>
      </c>
      <c r="G771" s="61">
        <f>13.5173 * CHOOSE(CONTROL!$C$19, $C$13, 100%, $E$13)</f>
        <v>13.517300000000001</v>
      </c>
      <c r="H771" s="61">
        <f>18.7436* CHOOSE(CONTROL!$C$19, $C$13, 100%, $E$13)</f>
        <v>18.743600000000001</v>
      </c>
      <c r="I771" s="61">
        <f>18.7438 * CHOOSE(CONTROL!$C$19, $C$13, 100%, $E$13)</f>
        <v>18.7438</v>
      </c>
      <c r="J771" s="61">
        <f>13.5171 * CHOOSE(CONTROL!$C$19, $C$13, 100%, $E$13)</f>
        <v>13.517099999999999</v>
      </c>
      <c r="K771" s="61">
        <f>13.5173 * CHOOSE(CONTROL!$C$19, $C$13, 100%, $E$13)</f>
        <v>13.517300000000001</v>
      </c>
    </row>
    <row r="772" spans="1:11" ht="15">
      <c r="A772" s="13">
        <v>65350</v>
      </c>
      <c r="B772" s="60">
        <f>11.2763 * CHOOSE(CONTROL!$C$19, $C$13, 100%, $E$13)</f>
        <v>11.276300000000001</v>
      </c>
      <c r="C772" s="60">
        <f>11.2763 * CHOOSE(CONTROL!$C$19, $C$13, 100%, $E$13)</f>
        <v>11.276300000000001</v>
      </c>
      <c r="D772" s="60">
        <f>11.2915 * CHOOSE(CONTROL!$C$19, $C$13, 100%, $E$13)</f>
        <v>11.291499999999999</v>
      </c>
      <c r="E772" s="61">
        <f>13.4026 * CHOOSE(CONTROL!$C$19, $C$13, 100%, $E$13)</f>
        <v>13.4026</v>
      </c>
      <c r="F772" s="61">
        <f>13.4026 * CHOOSE(CONTROL!$C$19, $C$13, 100%, $E$13)</f>
        <v>13.4026</v>
      </c>
      <c r="G772" s="61">
        <f>13.4028 * CHOOSE(CONTROL!$C$19, $C$13, 100%, $E$13)</f>
        <v>13.402799999999999</v>
      </c>
      <c r="H772" s="61">
        <f>18.7826* CHOOSE(CONTROL!$C$19, $C$13, 100%, $E$13)</f>
        <v>18.782599999999999</v>
      </c>
      <c r="I772" s="61">
        <f>18.7828 * CHOOSE(CONTROL!$C$19, $C$13, 100%, $E$13)</f>
        <v>18.782800000000002</v>
      </c>
      <c r="J772" s="61">
        <f>13.4026 * CHOOSE(CONTROL!$C$19, $C$13, 100%, $E$13)</f>
        <v>13.4026</v>
      </c>
      <c r="K772" s="61">
        <f>13.4028 * CHOOSE(CONTROL!$C$19, $C$13, 100%, $E$13)</f>
        <v>13.402799999999999</v>
      </c>
    </row>
    <row r="773" spans="1:11" ht="15">
      <c r="A773" s="13">
        <v>65381</v>
      </c>
      <c r="B773" s="60">
        <f>11.2833 * CHOOSE(CONTROL!$C$19, $C$13, 100%, $E$13)</f>
        <v>11.283300000000001</v>
      </c>
      <c r="C773" s="60">
        <f>11.2833 * CHOOSE(CONTROL!$C$19, $C$13, 100%, $E$13)</f>
        <v>11.283300000000001</v>
      </c>
      <c r="D773" s="60">
        <f>11.2985 * CHOOSE(CONTROL!$C$19, $C$13, 100%, $E$13)</f>
        <v>11.298500000000001</v>
      </c>
      <c r="E773" s="61">
        <f>13.492 * CHOOSE(CONTROL!$C$19, $C$13, 100%, $E$13)</f>
        <v>13.492000000000001</v>
      </c>
      <c r="F773" s="61">
        <f>13.492 * CHOOSE(CONTROL!$C$19, $C$13, 100%, $E$13)</f>
        <v>13.492000000000001</v>
      </c>
      <c r="G773" s="61">
        <f>13.4922 * CHOOSE(CONTROL!$C$19, $C$13, 100%, $E$13)</f>
        <v>13.4922</v>
      </c>
      <c r="H773" s="61">
        <f>18.6822* CHOOSE(CONTROL!$C$19, $C$13, 100%, $E$13)</f>
        <v>18.682200000000002</v>
      </c>
      <c r="I773" s="61">
        <f>18.6824 * CHOOSE(CONTROL!$C$19, $C$13, 100%, $E$13)</f>
        <v>18.682400000000001</v>
      </c>
      <c r="J773" s="61">
        <f>13.492 * CHOOSE(CONTROL!$C$19, $C$13, 100%, $E$13)</f>
        <v>13.492000000000001</v>
      </c>
      <c r="K773" s="61">
        <f>13.4922 * CHOOSE(CONTROL!$C$19, $C$13, 100%, $E$13)</f>
        <v>13.4922</v>
      </c>
    </row>
    <row r="774" spans="1:11" ht="15">
      <c r="A774" s="13">
        <v>65412</v>
      </c>
      <c r="B774" s="60">
        <f>11.2803 * CHOOSE(CONTROL!$C$19, $C$13, 100%, $E$13)</f>
        <v>11.2803</v>
      </c>
      <c r="C774" s="60">
        <f>11.2803 * CHOOSE(CONTROL!$C$19, $C$13, 100%, $E$13)</f>
        <v>11.2803</v>
      </c>
      <c r="D774" s="60">
        <f>11.2955 * CHOOSE(CONTROL!$C$19, $C$13, 100%, $E$13)</f>
        <v>11.295500000000001</v>
      </c>
      <c r="E774" s="61">
        <f>13.2691 * CHOOSE(CONTROL!$C$19, $C$13, 100%, $E$13)</f>
        <v>13.2691</v>
      </c>
      <c r="F774" s="61">
        <f>13.2691 * CHOOSE(CONTROL!$C$19, $C$13, 100%, $E$13)</f>
        <v>13.2691</v>
      </c>
      <c r="G774" s="61">
        <f>13.2692 * CHOOSE(CONTROL!$C$19, $C$13, 100%, $E$13)</f>
        <v>13.2692</v>
      </c>
      <c r="H774" s="61">
        <f>18.7211* CHOOSE(CONTROL!$C$19, $C$13, 100%, $E$13)</f>
        <v>18.7211</v>
      </c>
      <c r="I774" s="61">
        <f>18.7213 * CHOOSE(CONTROL!$C$19, $C$13, 100%, $E$13)</f>
        <v>18.721299999999999</v>
      </c>
      <c r="J774" s="61">
        <f>13.2691 * CHOOSE(CONTROL!$C$19, $C$13, 100%, $E$13)</f>
        <v>13.2691</v>
      </c>
      <c r="K774" s="61">
        <f>13.2692 * CHOOSE(CONTROL!$C$19, $C$13, 100%, $E$13)</f>
        <v>13.2692</v>
      </c>
    </row>
    <row r="775" spans="1:11" ht="15">
      <c r="A775" s="13">
        <v>65440</v>
      </c>
      <c r="B775" s="60">
        <f>11.2773 * CHOOSE(CONTROL!$C$19, $C$13, 100%, $E$13)</f>
        <v>11.2773</v>
      </c>
      <c r="C775" s="60">
        <f>11.2773 * CHOOSE(CONTROL!$C$19, $C$13, 100%, $E$13)</f>
        <v>11.2773</v>
      </c>
      <c r="D775" s="60">
        <f>11.2924 * CHOOSE(CONTROL!$C$19, $C$13, 100%, $E$13)</f>
        <v>11.292400000000001</v>
      </c>
      <c r="E775" s="61">
        <f>13.4411 * CHOOSE(CONTROL!$C$19, $C$13, 100%, $E$13)</f>
        <v>13.4411</v>
      </c>
      <c r="F775" s="61">
        <f>13.4411 * CHOOSE(CONTROL!$C$19, $C$13, 100%, $E$13)</f>
        <v>13.4411</v>
      </c>
      <c r="G775" s="61">
        <f>13.4412 * CHOOSE(CONTROL!$C$19, $C$13, 100%, $E$13)</f>
        <v>13.4412</v>
      </c>
      <c r="H775" s="61">
        <f>18.7601* CHOOSE(CONTROL!$C$19, $C$13, 100%, $E$13)</f>
        <v>18.760100000000001</v>
      </c>
      <c r="I775" s="61">
        <f>18.7603 * CHOOSE(CONTROL!$C$19, $C$13, 100%, $E$13)</f>
        <v>18.760300000000001</v>
      </c>
      <c r="J775" s="61">
        <f>13.4411 * CHOOSE(CONTROL!$C$19, $C$13, 100%, $E$13)</f>
        <v>13.4411</v>
      </c>
      <c r="K775" s="61">
        <f>13.4412 * CHOOSE(CONTROL!$C$19, $C$13, 100%, $E$13)</f>
        <v>13.4412</v>
      </c>
    </row>
    <row r="776" spans="1:11" ht="15">
      <c r="A776" s="13">
        <v>65471</v>
      </c>
      <c r="B776" s="60">
        <f>11.2821 * CHOOSE(CONTROL!$C$19, $C$13, 100%, $E$13)</f>
        <v>11.2821</v>
      </c>
      <c r="C776" s="60">
        <f>11.2821 * CHOOSE(CONTROL!$C$19, $C$13, 100%, $E$13)</f>
        <v>11.2821</v>
      </c>
      <c r="D776" s="60">
        <f>11.2973 * CHOOSE(CONTROL!$C$19, $C$13, 100%, $E$13)</f>
        <v>11.2973</v>
      </c>
      <c r="E776" s="61">
        <f>13.6238 * CHOOSE(CONTROL!$C$19, $C$13, 100%, $E$13)</f>
        <v>13.623799999999999</v>
      </c>
      <c r="F776" s="61">
        <f>13.6238 * CHOOSE(CONTROL!$C$19, $C$13, 100%, $E$13)</f>
        <v>13.623799999999999</v>
      </c>
      <c r="G776" s="61">
        <f>13.624 * CHOOSE(CONTROL!$C$19, $C$13, 100%, $E$13)</f>
        <v>13.624000000000001</v>
      </c>
      <c r="H776" s="61">
        <f>18.7992* CHOOSE(CONTROL!$C$19, $C$13, 100%, $E$13)</f>
        <v>18.799199999999999</v>
      </c>
      <c r="I776" s="61">
        <f>18.7994 * CHOOSE(CONTROL!$C$19, $C$13, 100%, $E$13)</f>
        <v>18.799399999999999</v>
      </c>
      <c r="J776" s="61">
        <f>13.6238 * CHOOSE(CONTROL!$C$19, $C$13, 100%, $E$13)</f>
        <v>13.623799999999999</v>
      </c>
      <c r="K776" s="61">
        <f>13.624 * CHOOSE(CONTROL!$C$19, $C$13, 100%, $E$13)</f>
        <v>13.624000000000001</v>
      </c>
    </row>
    <row r="777" spans="1:11" ht="15">
      <c r="A777" s="13">
        <v>65501</v>
      </c>
      <c r="B777" s="60">
        <f>11.2821 * CHOOSE(CONTROL!$C$19, $C$13, 100%, $E$13)</f>
        <v>11.2821</v>
      </c>
      <c r="C777" s="60">
        <f>11.2821 * CHOOSE(CONTROL!$C$19, $C$13, 100%, $E$13)</f>
        <v>11.2821</v>
      </c>
      <c r="D777" s="60">
        <f>11.3125 * CHOOSE(CONTROL!$C$19, $C$13, 100%, $E$13)</f>
        <v>11.3125</v>
      </c>
      <c r="E777" s="61">
        <f>13.6939 * CHOOSE(CONTROL!$C$19, $C$13, 100%, $E$13)</f>
        <v>13.693899999999999</v>
      </c>
      <c r="F777" s="61">
        <f>13.6939 * CHOOSE(CONTROL!$C$19, $C$13, 100%, $E$13)</f>
        <v>13.693899999999999</v>
      </c>
      <c r="G777" s="61">
        <f>13.6958 * CHOOSE(CONTROL!$C$19, $C$13, 100%, $E$13)</f>
        <v>13.6958</v>
      </c>
      <c r="H777" s="61">
        <f>18.8384* CHOOSE(CONTROL!$C$19, $C$13, 100%, $E$13)</f>
        <v>18.8384</v>
      </c>
      <c r="I777" s="61">
        <f>18.8403 * CHOOSE(CONTROL!$C$19, $C$13, 100%, $E$13)</f>
        <v>18.840299999999999</v>
      </c>
      <c r="J777" s="61">
        <f>13.6939 * CHOOSE(CONTROL!$C$19, $C$13, 100%, $E$13)</f>
        <v>13.693899999999999</v>
      </c>
      <c r="K777" s="61">
        <f>13.6958 * CHOOSE(CONTROL!$C$19, $C$13, 100%, $E$13)</f>
        <v>13.6958</v>
      </c>
    </row>
    <row r="778" spans="1:11" ht="15">
      <c r="A778" s="13">
        <v>65532</v>
      </c>
      <c r="B778" s="60">
        <f>11.2882 * CHOOSE(CONTROL!$C$19, $C$13, 100%, $E$13)</f>
        <v>11.2882</v>
      </c>
      <c r="C778" s="60">
        <f>11.2882 * CHOOSE(CONTROL!$C$19, $C$13, 100%, $E$13)</f>
        <v>11.2882</v>
      </c>
      <c r="D778" s="60">
        <f>11.3185 * CHOOSE(CONTROL!$C$19, $C$13, 100%, $E$13)</f>
        <v>11.3185</v>
      </c>
      <c r="E778" s="61">
        <f>13.628 * CHOOSE(CONTROL!$C$19, $C$13, 100%, $E$13)</f>
        <v>13.628</v>
      </c>
      <c r="F778" s="61">
        <f>13.628 * CHOOSE(CONTROL!$C$19, $C$13, 100%, $E$13)</f>
        <v>13.628</v>
      </c>
      <c r="G778" s="61">
        <f>13.6299 * CHOOSE(CONTROL!$C$19, $C$13, 100%, $E$13)</f>
        <v>13.629899999999999</v>
      </c>
      <c r="H778" s="61">
        <f>18.8776* CHOOSE(CONTROL!$C$19, $C$13, 100%, $E$13)</f>
        <v>18.877600000000001</v>
      </c>
      <c r="I778" s="61">
        <f>18.8795 * CHOOSE(CONTROL!$C$19, $C$13, 100%, $E$13)</f>
        <v>18.8795</v>
      </c>
      <c r="J778" s="61">
        <f>13.628 * CHOOSE(CONTROL!$C$19, $C$13, 100%, $E$13)</f>
        <v>13.628</v>
      </c>
      <c r="K778" s="61">
        <f>13.6299 * CHOOSE(CONTROL!$C$19, $C$13, 100%, $E$13)</f>
        <v>13.629899999999999</v>
      </c>
    </row>
    <row r="779" spans="1:11" ht="15">
      <c r="A779" s="13">
        <v>65562</v>
      </c>
      <c r="B779" s="60">
        <f>11.4463 * CHOOSE(CONTROL!$C$19, $C$13, 100%, $E$13)</f>
        <v>11.446300000000001</v>
      </c>
      <c r="C779" s="60">
        <f>11.4463 * CHOOSE(CONTROL!$C$19, $C$13, 100%, $E$13)</f>
        <v>11.446300000000001</v>
      </c>
      <c r="D779" s="60">
        <f>11.4767 * CHOOSE(CONTROL!$C$19, $C$13, 100%, $E$13)</f>
        <v>11.476699999999999</v>
      </c>
      <c r="E779" s="61">
        <f>13.8766 * CHOOSE(CONTROL!$C$19, $C$13, 100%, $E$13)</f>
        <v>13.8766</v>
      </c>
      <c r="F779" s="61">
        <f>13.8766 * CHOOSE(CONTROL!$C$19, $C$13, 100%, $E$13)</f>
        <v>13.8766</v>
      </c>
      <c r="G779" s="61">
        <f>13.8785 * CHOOSE(CONTROL!$C$19, $C$13, 100%, $E$13)</f>
        <v>13.878500000000001</v>
      </c>
      <c r="H779" s="61">
        <f>18.9169* CHOOSE(CONTROL!$C$19, $C$13, 100%, $E$13)</f>
        <v>18.916899999999998</v>
      </c>
      <c r="I779" s="61">
        <f>18.9188 * CHOOSE(CONTROL!$C$19, $C$13, 100%, $E$13)</f>
        <v>18.918800000000001</v>
      </c>
      <c r="J779" s="61">
        <f>13.8766 * CHOOSE(CONTROL!$C$19, $C$13, 100%, $E$13)</f>
        <v>13.8766</v>
      </c>
      <c r="K779" s="61">
        <f>13.8785 * CHOOSE(CONTROL!$C$19, $C$13, 100%, $E$13)</f>
        <v>13.878500000000001</v>
      </c>
    </row>
    <row r="780" spans="1:11" ht="15">
      <c r="A780" s="13">
        <v>65593</v>
      </c>
      <c r="B780" s="60">
        <f>11.453 * CHOOSE(CONTROL!$C$19, $C$13, 100%, $E$13)</f>
        <v>11.452999999999999</v>
      </c>
      <c r="C780" s="60">
        <f>11.453 * CHOOSE(CONTROL!$C$19, $C$13, 100%, $E$13)</f>
        <v>11.452999999999999</v>
      </c>
      <c r="D780" s="60">
        <f>11.4834 * CHOOSE(CONTROL!$C$19, $C$13, 100%, $E$13)</f>
        <v>11.4834</v>
      </c>
      <c r="E780" s="61">
        <f>13.6709 * CHOOSE(CONTROL!$C$19, $C$13, 100%, $E$13)</f>
        <v>13.6709</v>
      </c>
      <c r="F780" s="61">
        <f>13.6709 * CHOOSE(CONTROL!$C$19, $C$13, 100%, $E$13)</f>
        <v>13.6709</v>
      </c>
      <c r="G780" s="61">
        <f>13.6728 * CHOOSE(CONTROL!$C$19, $C$13, 100%, $E$13)</f>
        <v>13.672800000000001</v>
      </c>
      <c r="H780" s="61">
        <f>18.9563* CHOOSE(CONTROL!$C$19, $C$13, 100%, $E$13)</f>
        <v>18.956299999999999</v>
      </c>
      <c r="I780" s="61">
        <f>18.9582 * CHOOSE(CONTROL!$C$19, $C$13, 100%, $E$13)</f>
        <v>18.958200000000001</v>
      </c>
      <c r="J780" s="61">
        <f>13.6709 * CHOOSE(CONTROL!$C$19, $C$13, 100%, $E$13)</f>
        <v>13.6709</v>
      </c>
      <c r="K780" s="61">
        <f>13.6728 * CHOOSE(CONTROL!$C$19, $C$13, 100%, $E$13)</f>
        <v>13.672800000000001</v>
      </c>
    </row>
    <row r="781" spans="1:11" ht="15">
      <c r="A781" s="13">
        <v>65624</v>
      </c>
      <c r="B781" s="60">
        <f>11.45 * CHOOSE(CONTROL!$C$19, $C$13, 100%, $E$13)</f>
        <v>11.45</v>
      </c>
      <c r="C781" s="60">
        <f>11.45 * CHOOSE(CONTROL!$C$19, $C$13, 100%, $E$13)</f>
        <v>11.45</v>
      </c>
      <c r="D781" s="60">
        <f>11.4803 * CHOOSE(CONTROL!$C$19, $C$13, 100%, $E$13)</f>
        <v>11.4803</v>
      </c>
      <c r="E781" s="61">
        <f>13.6454 * CHOOSE(CONTROL!$C$19, $C$13, 100%, $E$13)</f>
        <v>13.6454</v>
      </c>
      <c r="F781" s="61">
        <f>13.6454 * CHOOSE(CONTROL!$C$19, $C$13, 100%, $E$13)</f>
        <v>13.6454</v>
      </c>
      <c r="G781" s="61">
        <f>13.6473 * CHOOSE(CONTROL!$C$19, $C$13, 100%, $E$13)</f>
        <v>13.6473</v>
      </c>
      <c r="H781" s="61">
        <f>18.9958* CHOOSE(CONTROL!$C$19, $C$13, 100%, $E$13)</f>
        <v>18.995799999999999</v>
      </c>
      <c r="I781" s="61">
        <f>18.9977 * CHOOSE(CONTROL!$C$19, $C$13, 100%, $E$13)</f>
        <v>18.997699999999998</v>
      </c>
      <c r="J781" s="61">
        <f>13.6454 * CHOOSE(CONTROL!$C$19, $C$13, 100%, $E$13)</f>
        <v>13.6454</v>
      </c>
      <c r="K781" s="61">
        <f>13.6473 * CHOOSE(CONTROL!$C$19, $C$13, 100%, $E$13)</f>
        <v>13.6473</v>
      </c>
    </row>
    <row r="782" spans="1:11" ht="15">
      <c r="A782" s="13">
        <v>65654</v>
      </c>
      <c r="B782" s="60">
        <f>11.4733 * CHOOSE(CONTROL!$C$19, $C$13, 100%, $E$13)</f>
        <v>11.4733</v>
      </c>
      <c r="C782" s="60">
        <f>11.4733 * CHOOSE(CONTROL!$C$19, $C$13, 100%, $E$13)</f>
        <v>11.4733</v>
      </c>
      <c r="D782" s="60">
        <f>11.4885 * CHOOSE(CONTROL!$C$19, $C$13, 100%, $E$13)</f>
        <v>11.4885</v>
      </c>
      <c r="E782" s="61">
        <f>13.7255 * CHOOSE(CONTROL!$C$19, $C$13, 100%, $E$13)</f>
        <v>13.7255</v>
      </c>
      <c r="F782" s="61">
        <f>13.7255 * CHOOSE(CONTROL!$C$19, $C$13, 100%, $E$13)</f>
        <v>13.7255</v>
      </c>
      <c r="G782" s="61">
        <f>13.7256 * CHOOSE(CONTROL!$C$19, $C$13, 100%, $E$13)</f>
        <v>13.7256</v>
      </c>
      <c r="H782" s="61">
        <f>19.0354* CHOOSE(CONTROL!$C$19, $C$13, 100%, $E$13)</f>
        <v>19.035399999999999</v>
      </c>
      <c r="I782" s="61">
        <f>19.0356 * CHOOSE(CONTROL!$C$19, $C$13, 100%, $E$13)</f>
        <v>19.035599999999999</v>
      </c>
      <c r="J782" s="61">
        <f>13.7255 * CHOOSE(CONTROL!$C$19, $C$13, 100%, $E$13)</f>
        <v>13.7255</v>
      </c>
      <c r="K782" s="61">
        <f>13.7256 * CHOOSE(CONTROL!$C$19, $C$13, 100%, $E$13)</f>
        <v>13.7256</v>
      </c>
    </row>
    <row r="783" spans="1:11" ht="15">
      <c r="A783" s="13">
        <v>65685</v>
      </c>
      <c r="B783" s="60">
        <f>11.4764 * CHOOSE(CONTROL!$C$19, $C$13, 100%, $E$13)</f>
        <v>11.4764</v>
      </c>
      <c r="C783" s="60">
        <f>11.4764 * CHOOSE(CONTROL!$C$19, $C$13, 100%, $E$13)</f>
        <v>11.4764</v>
      </c>
      <c r="D783" s="60">
        <f>11.4916 * CHOOSE(CONTROL!$C$19, $C$13, 100%, $E$13)</f>
        <v>11.4916</v>
      </c>
      <c r="E783" s="61">
        <f>13.7743 * CHOOSE(CONTROL!$C$19, $C$13, 100%, $E$13)</f>
        <v>13.7743</v>
      </c>
      <c r="F783" s="61">
        <f>13.7743 * CHOOSE(CONTROL!$C$19, $C$13, 100%, $E$13)</f>
        <v>13.7743</v>
      </c>
      <c r="G783" s="61">
        <f>13.7745 * CHOOSE(CONTROL!$C$19, $C$13, 100%, $E$13)</f>
        <v>13.7745</v>
      </c>
      <c r="H783" s="61">
        <f>19.0751* CHOOSE(CONTROL!$C$19, $C$13, 100%, $E$13)</f>
        <v>19.075099999999999</v>
      </c>
      <c r="I783" s="61">
        <f>19.0752 * CHOOSE(CONTROL!$C$19, $C$13, 100%, $E$13)</f>
        <v>19.075199999999999</v>
      </c>
      <c r="J783" s="61">
        <f>13.7743 * CHOOSE(CONTROL!$C$19, $C$13, 100%, $E$13)</f>
        <v>13.7743</v>
      </c>
      <c r="K783" s="61">
        <f>13.7745 * CHOOSE(CONTROL!$C$19, $C$13, 100%, $E$13)</f>
        <v>13.7745</v>
      </c>
    </row>
    <row r="784" spans="1:11" ht="15">
      <c r="A784" s="13">
        <v>65715</v>
      </c>
      <c r="B784" s="60">
        <f>11.4764 * CHOOSE(CONTROL!$C$19, $C$13, 100%, $E$13)</f>
        <v>11.4764</v>
      </c>
      <c r="C784" s="60">
        <f>11.4764 * CHOOSE(CONTROL!$C$19, $C$13, 100%, $E$13)</f>
        <v>11.4764</v>
      </c>
      <c r="D784" s="60">
        <f>11.4916 * CHOOSE(CONTROL!$C$19, $C$13, 100%, $E$13)</f>
        <v>11.4916</v>
      </c>
      <c r="E784" s="61">
        <f>13.6574 * CHOOSE(CONTROL!$C$19, $C$13, 100%, $E$13)</f>
        <v>13.657400000000001</v>
      </c>
      <c r="F784" s="61">
        <f>13.6574 * CHOOSE(CONTROL!$C$19, $C$13, 100%, $E$13)</f>
        <v>13.657400000000001</v>
      </c>
      <c r="G784" s="61">
        <f>13.6576 * CHOOSE(CONTROL!$C$19, $C$13, 100%, $E$13)</f>
        <v>13.6576</v>
      </c>
      <c r="H784" s="61">
        <f>19.1148* CHOOSE(CONTROL!$C$19, $C$13, 100%, $E$13)</f>
        <v>19.114799999999999</v>
      </c>
      <c r="I784" s="61">
        <f>19.115 * CHOOSE(CONTROL!$C$19, $C$13, 100%, $E$13)</f>
        <v>19.114999999999998</v>
      </c>
      <c r="J784" s="61">
        <f>13.6574 * CHOOSE(CONTROL!$C$19, $C$13, 100%, $E$13)</f>
        <v>13.657400000000001</v>
      </c>
      <c r="K784" s="61">
        <f>13.6576 * CHOOSE(CONTROL!$C$19, $C$13, 100%, $E$13)</f>
        <v>13.6576</v>
      </c>
    </row>
    <row r="785" spans="1:11" ht="15">
      <c r="A785" s="13">
        <v>65746</v>
      </c>
      <c r="B785" s="60">
        <f>11.48 * CHOOSE(CONTROL!$C$19, $C$13, 100%, $E$13)</f>
        <v>11.48</v>
      </c>
      <c r="C785" s="60">
        <f>11.48 * CHOOSE(CONTROL!$C$19, $C$13, 100%, $E$13)</f>
        <v>11.48</v>
      </c>
      <c r="D785" s="60">
        <f>11.4951 * CHOOSE(CONTROL!$C$19, $C$13, 100%, $E$13)</f>
        <v>11.495100000000001</v>
      </c>
      <c r="E785" s="61">
        <f>13.7439 * CHOOSE(CONTROL!$C$19, $C$13, 100%, $E$13)</f>
        <v>13.7439</v>
      </c>
      <c r="F785" s="61">
        <f>13.7439 * CHOOSE(CONTROL!$C$19, $C$13, 100%, $E$13)</f>
        <v>13.7439</v>
      </c>
      <c r="G785" s="61">
        <f>13.7441 * CHOOSE(CONTROL!$C$19, $C$13, 100%, $E$13)</f>
        <v>13.7441</v>
      </c>
      <c r="H785" s="61">
        <f>19.0069* CHOOSE(CONTROL!$C$19, $C$13, 100%, $E$13)</f>
        <v>19.006900000000002</v>
      </c>
      <c r="I785" s="61">
        <f>19.007 * CHOOSE(CONTROL!$C$19, $C$13, 100%, $E$13)</f>
        <v>19.007000000000001</v>
      </c>
      <c r="J785" s="61">
        <f>13.7439 * CHOOSE(CONTROL!$C$19, $C$13, 100%, $E$13)</f>
        <v>13.7439</v>
      </c>
      <c r="K785" s="61">
        <f>13.7441 * CHOOSE(CONTROL!$C$19, $C$13, 100%, $E$13)</f>
        <v>13.7441</v>
      </c>
    </row>
    <row r="786" spans="1:11" ht="15">
      <c r="A786" s="13">
        <v>65777</v>
      </c>
      <c r="B786" s="60">
        <f>11.4769 * CHOOSE(CONTROL!$C$19, $C$13, 100%, $E$13)</f>
        <v>11.476900000000001</v>
      </c>
      <c r="C786" s="60">
        <f>11.4769 * CHOOSE(CONTROL!$C$19, $C$13, 100%, $E$13)</f>
        <v>11.476900000000001</v>
      </c>
      <c r="D786" s="60">
        <f>11.4921 * CHOOSE(CONTROL!$C$19, $C$13, 100%, $E$13)</f>
        <v>11.492100000000001</v>
      </c>
      <c r="E786" s="61">
        <f>13.5164 * CHOOSE(CONTROL!$C$19, $C$13, 100%, $E$13)</f>
        <v>13.516400000000001</v>
      </c>
      <c r="F786" s="61">
        <f>13.5164 * CHOOSE(CONTROL!$C$19, $C$13, 100%, $E$13)</f>
        <v>13.516400000000001</v>
      </c>
      <c r="G786" s="61">
        <f>13.5166 * CHOOSE(CONTROL!$C$19, $C$13, 100%, $E$13)</f>
        <v>13.5166</v>
      </c>
      <c r="H786" s="61">
        <f>19.0464* CHOOSE(CONTROL!$C$19, $C$13, 100%, $E$13)</f>
        <v>19.046399999999998</v>
      </c>
      <c r="I786" s="61">
        <f>19.0466 * CHOOSE(CONTROL!$C$19, $C$13, 100%, $E$13)</f>
        <v>19.046600000000002</v>
      </c>
      <c r="J786" s="61">
        <f>13.5164 * CHOOSE(CONTROL!$C$19, $C$13, 100%, $E$13)</f>
        <v>13.516400000000001</v>
      </c>
      <c r="K786" s="61">
        <f>13.5166 * CHOOSE(CONTROL!$C$19, $C$13, 100%, $E$13)</f>
        <v>13.5166</v>
      </c>
    </row>
    <row r="787" spans="1:11" ht="15">
      <c r="A787" s="13">
        <v>65806</v>
      </c>
      <c r="B787" s="60">
        <f>11.4739 * CHOOSE(CONTROL!$C$19, $C$13, 100%, $E$13)</f>
        <v>11.4739</v>
      </c>
      <c r="C787" s="60">
        <f>11.4739 * CHOOSE(CONTROL!$C$19, $C$13, 100%, $E$13)</f>
        <v>11.4739</v>
      </c>
      <c r="D787" s="60">
        <f>11.4891 * CHOOSE(CONTROL!$C$19, $C$13, 100%, $E$13)</f>
        <v>11.489100000000001</v>
      </c>
      <c r="E787" s="61">
        <f>13.6919 * CHOOSE(CONTROL!$C$19, $C$13, 100%, $E$13)</f>
        <v>13.6919</v>
      </c>
      <c r="F787" s="61">
        <f>13.6919 * CHOOSE(CONTROL!$C$19, $C$13, 100%, $E$13)</f>
        <v>13.6919</v>
      </c>
      <c r="G787" s="61">
        <f>13.6921 * CHOOSE(CONTROL!$C$19, $C$13, 100%, $E$13)</f>
        <v>13.6921</v>
      </c>
      <c r="H787" s="61">
        <f>19.0861* CHOOSE(CONTROL!$C$19, $C$13, 100%, $E$13)</f>
        <v>19.086099999999998</v>
      </c>
      <c r="I787" s="61">
        <f>19.0863 * CHOOSE(CONTROL!$C$19, $C$13, 100%, $E$13)</f>
        <v>19.086300000000001</v>
      </c>
      <c r="J787" s="61">
        <f>13.6919 * CHOOSE(CONTROL!$C$19, $C$13, 100%, $E$13)</f>
        <v>13.6919</v>
      </c>
      <c r="K787" s="61">
        <f>13.6921 * CHOOSE(CONTROL!$C$19, $C$13, 100%, $E$13)</f>
        <v>13.6921</v>
      </c>
    </row>
    <row r="788" spans="1:11" ht="15">
      <c r="A788" s="13">
        <v>65837</v>
      </c>
      <c r="B788" s="60">
        <f>11.4789 * CHOOSE(CONTROL!$C$19, $C$13, 100%, $E$13)</f>
        <v>11.478899999999999</v>
      </c>
      <c r="C788" s="60">
        <f>11.4789 * CHOOSE(CONTROL!$C$19, $C$13, 100%, $E$13)</f>
        <v>11.478899999999999</v>
      </c>
      <c r="D788" s="60">
        <f>11.4941 * CHOOSE(CONTROL!$C$19, $C$13, 100%, $E$13)</f>
        <v>11.4941</v>
      </c>
      <c r="E788" s="61">
        <f>13.8785 * CHOOSE(CONTROL!$C$19, $C$13, 100%, $E$13)</f>
        <v>13.878500000000001</v>
      </c>
      <c r="F788" s="61">
        <f>13.8785 * CHOOSE(CONTROL!$C$19, $C$13, 100%, $E$13)</f>
        <v>13.878500000000001</v>
      </c>
      <c r="G788" s="61">
        <f>13.8787 * CHOOSE(CONTROL!$C$19, $C$13, 100%, $E$13)</f>
        <v>13.8787</v>
      </c>
      <c r="H788" s="61">
        <f>19.1259* CHOOSE(CONTROL!$C$19, $C$13, 100%, $E$13)</f>
        <v>19.125900000000001</v>
      </c>
      <c r="I788" s="61">
        <f>19.1261 * CHOOSE(CONTROL!$C$19, $C$13, 100%, $E$13)</f>
        <v>19.126100000000001</v>
      </c>
      <c r="J788" s="61">
        <f>13.8785 * CHOOSE(CONTROL!$C$19, $C$13, 100%, $E$13)</f>
        <v>13.878500000000001</v>
      </c>
      <c r="K788" s="61">
        <f>13.8787 * CHOOSE(CONTROL!$C$19, $C$13, 100%, $E$13)</f>
        <v>13.8787</v>
      </c>
    </row>
    <row r="789" spans="1:11" ht="15">
      <c r="A789" s="13">
        <v>65867</v>
      </c>
      <c r="B789" s="60">
        <f>11.4789 * CHOOSE(CONTROL!$C$19, $C$13, 100%, $E$13)</f>
        <v>11.478899999999999</v>
      </c>
      <c r="C789" s="60">
        <f>11.4789 * CHOOSE(CONTROL!$C$19, $C$13, 100%, $E$13)</f>
        <v>11.478899999999999</v>
      </c>
      <c r="D789" s="60">
        <f>11.5093 * CHOOSE(CONTROL!$C$19, $C$13, 100%, $E$13)</f>
        <v>11.5093</v>
      </c>
      <c r="E789" s="61">
        <f>13.95 * CHOOSE(CONTROL!$C$19, $C$13, 100%, $E$13)</f>
        <v>13.95</v>
      </c>
      <c r="F789" s="61">
        <f>13.95 * CHOOSE(CONTROL!$C$19, $C$13, 100%, $E$13)</f>
        <v>13.95</v>
      </c>
      <c r="G789" s="61">
        <f>13.9519 * CHOOSE(CONTROL!$C$19, $C$13, 100%, $E$13)</f>
        <v>13.9519</v>
      </c>
      <c r="H789" s="61">
        <f>19.1657* CHOOSE(CONTROL!$C$19, $C$13, 100%, $E$13)</f>
        <v>19.165700000000001</v>
      </c>
      <c r="I789" s="61">
        <f>19.1676 * CHOOSE(CONTROL!$C$19, $C$13, 100%, $E$13)</f>
        <v>19.1676</v>
      </c>
      <c r="J789" s="61">
        <f>13.95 * CHOOSE(CONTROL!$C$19, $C$13, 100%, $E$13)</f>
        <v>13.95</v>
      </c>
      <c r="K789" s="61">
        <f>13.9519 * CHOOSE(CONTROL!$C$19, $C$13, 100%, $E$13)</f>
        <v>13.9519</v>
      </c>
    </row>
    <row r="790" spans="1:11" ht="15">
      <c r="A790" s="13">
        <v>65898</v>
      </c>
      <c r="B790" s="60">
        <f>11.485 * CHOOSE(CONTROL!$C$19, $C$13, 100%, $E$13)</f>
        <v>11.484999999999999</v>
      </c>
      <c r="C790" s="60">
        <f>11.485 * CHOOSE(CONTROL!$C$19, $C$13, 100%, $E$13)</f>
        <v>11.484999999999999</v>
      </c>
      <c r="D790" s="60">
        <f>11.5154 * CHOOSE(CONTROL!$C$19, $C$13, 100%, $E$13)</f>
        <v>11.5154</v>
      </c>
      <c r="E790" s="61">
        <f>13.8827 * CHOOSE(CONTROL!$C$19, $C$13, 100%, $E$13)</f>
        <v>13.8827</v>
      </c>
      <c r="F790" s="61">
        <f>13.8827 * CHOOSE(CONTROL!$C$19, $C$13, 100%, $E$13)</f>
        <v>13.8827</v>
      </c>
      <c r="G790" s="61">
        <f>13.8846 * CHOOSE(CONTROL!$C$19, $C$13, 100%, $E$13)</f>
        <v>13.884600000000001</v>
      </c>
      <c r="H790" s="61">
        <f>19.2057* CHOOSE(CONTROL!$C$19, $C$13, 100%, $E$13)</f>
        <v>19.2057</v>
      </c>
      <c r="I790" s="61">
        <f>19.2076 * CHOOSE(CONTROL!$C$19, $C$13, 100%, $E$13)</f>
        <v>19.207599999999999</v>
      </c>
      <c r="J790" s="61">
        <f>13.8827 * CHOOSE(CONTROL!$C$19, $C$13, 100%, $E$13)</f>
        <v>13.8827</v>
      </c>
      <c r="K790" s="61">
        <f>13.8846 * CHOOSE(CONTROL!$C$19, $C$13, 100%, $E$13)</f>
        <v>13.884600000000001</v>
      </c>
    </row>
    <row r="791" spans="1:11" ht="15">
      <c r="A791" s="13">
        <v>65928</v>
      </c>
      <c r="B791" s="60">
        <f>11.6456 * CHOOSE(CONTROL!$C$19, $C$13, 100%, $E$13)</f>
        <v>11.6456</v>
      </c>
      <c r="C791" s="60">
        <f>11.6456 * CHOOSE(CONTROL!$C$19, $C$13, 100%, $E$13)</f>
        <v>11.6456</v>
      </c>
      <c r="D791" s="60">
        <f>11.676 * CHOOSE(CONTROL!$C$19, $C$13, 100%, $E$13)</f>
        <v>11.676</v>
      </c>
      <c r="E791" s="61">
        <f>14.1357 * CHOOSE(CONTROL!$C$19, $C$13, 100%, $E$13)</f>
        <v>14.1357</v>
      </c>
      <c r="F791" s="61">
        <f>14.1357 * CHOOSE(CONTROL!$C$19, $C$13, 100%, $E$13)</f>
        <v>14.1357</v>
      </c>
      <c r="G791" s="61">
        <f>14.1376 * CHOOSE(CONTROL!$C$19, $C$13, 100%, $E$13)</f>
        <v>14.137600000000001</v>
      </c>
      <c r="H791" s="61">
        <f>19.2457* CHOOSE(CONTROL!$C$19, $C$13, 100%, $E$13)</f>
        <v>19.245699999999999</v>
      </c>
      <c r="I791" s="61">
        <f>19.2476 * CHOOSE(CONTROL!$C$19, $C$13, 100%, $E$13)</f>
        <v>19.247599999999998</v>
      </c>
      <c r="J791" s="61">
        <f>14.1357 * CHOOSE(CONTROL!$C$19, $C$13, 100%, $E$13)</f>
        <v>14.1357</v>
      </c>
      <c r="K791" s="61">
        <f>14.1376 * CHOOSE(CONTROL!$C$19, $C$13, 100%, $E$13)</f>
        <v>14.137600000000001</v>
      </c>
    </row>
    <row r="792" spans="1:11" ht="15">
      <c r="A792" s="13">
        <v>65959</v>
      </c>
      <c r="B792" s="60">
        <f>11.6523 * CHOOSE(CONTROL!$C$19, $C$13, 100%, $E$13)</f>
        <v>11.6523</v>
      </c>
      <c r="C792" s="60">
        <f>11.6523 * CHOOSE(CONTROL!$C$19, $C$13, 100%, $E$13)</f>
        <v>11.6523</v>
      </c>
      <c r="D792" s="60">
        <f>11.6827 * CHOOSE(CONTROL!$C$19, $C$13, 100%, $E$13)</f>
        <v>11.682700000000001</v>
      </c>
      <c r="E792" s="61">
        <f>13.9257 * CHOOSE(CONTROL!$C$19, $C$13, 100%, $E$13)</f>
        <v>13.925700000000001</v>
      </c>
      <c r="F792" s="61">
        <f>13.9257 * CHOOSE(CONTROL!$C$19, $C$13, 100%, $E$13)</f>
        <v>13.925700000000001</v>
      </c>
      <c r="G792" s="61">
        <f>13.9276 * CHOOSE(CONTROL!$C$19, $C$13, 100%, $E$13)</f>
        <v>13.9276</v>
      </c>
      <c r="H792" s="61">
        <f>19.2858* CHOOSE(CONTROL!$C$19, $C$13, 100%, $E$13)</f>
        <v>19.285799999999998</v>
      </c>
      <c r="I792" s="61">
        <f>19.2877 * CHOOSE(CONTROL!$C$19, $C$13, 100%, $E$13)</f>
        <v>19.287700000000001</v>
      </c>
      <c r="J792" s="61">
        <f>13.9257 * CHOOSE(CONTROL!$C$19, $C$13, 100%, $E$13)</f>
        <v>13.925700000000001</v>
      </c>
      <c r="K792" s="61">
        <f>13.9276 * CHOOSE(CONTROL!$C$19, $C$13, 100%, $E$13)</f>
        <v>13.9276</v>
      </c>
    </row>
    <row r="793" spans="1:11" ht="15">
      <c r="A793" s="13">
        <v>65990</v>
      </c>
      <c r="B793" s="60">
        <f>11.6493 * CHOOSE(CONTROL!$C$19, $C$13, 100%, $E$13)</f>
        <v>11.6493</v>
      </c>
      <c r="C793" s="60">
        <f>11.6493 * CHOOSE(CONTROL!$C$19, $C$13, 100%, $E$13)</f>
        <v>11.6493</v>
      </c>
      <c r="D793" s="60">
        <f>11.6797 * CHOOSE(CONTROL!$C$19, $C$13, 100%, $E$13)</f>
        <v>11.6797</v>
      </c>
      <c r="E793" s="61">
        <f>13.8997 * CHOOSE(CONTROL!$C$19, $C$13, 100%, $E$13)</f>
        <v>13.899699999999999</v>
      </c>
      <c r="F793" s="61">
        <f>13.8997 * CHOOSE(CONTROL!$C$19, $C$13, 100%, $E$13)</f>
        <v>13.899699999999999</v>
      </c>
      <c r="G793" s="61">
        <f>13.9016 * CHOOSE(CONTROL!$C$19, $C$13, 100%, $E$13)</f>
        <v>13.9016</v>
      </c>
      <c r="H793" s="61">
        <f>19.326* CHOOSE(CONTROL!$C$19, $C$13, 100%, $E$13)</f>
        <v>19.326000000000001</v>
      </c>
      <c r="I793" s="61">
        <f>19.3279 * CHOOSE(CONTROL!$C$19, $C$13, 100%, $E$13)</f>
        <v>19.3279</v>
      </c>
      <c r="J793" s="61">
        <f>13.8997 * CHOOSE(CONTROL!$C$19, $C$13, 100%, $E$13)</f>
        <v>13.899699999999999</v>
      </c>
      <c r="K793" s="61">
        <f>13.9016 * CHOOSE(CONTROL!$C$19, $C$13, 100%, $E$13)</f>
        <v>13.9016</v>
      </c>
    </row>
    <row r="794" spans="1:11" ht="15">
      <c r="A794" s="13">
        <v>66020</v>
      </c>
      <c r="B794" s="60">
        <f>11.6734 * CHOOSE(CONTROL!$C$19, $C$13, 100%, $E$13)</f>
        <v>11.673400000000001</v>
      </c>
      <c r="C794" s="60">
        <f>11.6734 * CHOOSE(CONTROL!$C$19, $C$13, 100%, $E$13)</f>
        <v>11.673400000000001</v>
      </c>
      <c r="D794" s="60">
        <f>11.6886 * CHOOSE(CONTROL!$C$19, $C$13, 100%, $E$13)</f>
        <v>11.688599999999999</v>
      </c>
      <c r="E794" s="61">
        <f>13.9817 * CHOOSE(CONTROL!$C$19, $C$13, 100%, $E$13)</f>
        <v>13.9817</v>
      </c>
      <c r="F794" s="61">
        <f>13.9817 * CHOOSE(CONTROL!$C$19, $C$13, 100%, $E$13)</f>
        <v>13.9817</v>
      </c>
      <c r="G794" s="61">
        <f>13.9819 * CHOOSE(CONTROL!$C$19, $C$13, 100%, $E$13)</f>
        <v>13.9819</v>
      </c>
      <c r="H794" s="61">
        <f>19.3662* CHOOSE(CONTROL!$C$19, $C$13, 100%, $E$13)</f>
        <v>19.366199999999999</v>
      </c>
      <c r="I794" s="61">
        <f>19.3664 * CHOOSE(CONTROL!$C$19, $C$13, 100%, $E$13)</f>
        <v>19.366399999999999</v>
      </c>
      <c r="J794" s="61">
        <f>13.9817 * CHOOSE(CONTROL!$C$19, $C$13, 100%, $E$13)</f>
        <v>13.9817</v>
      </c>
      <c r="K794" s="61">
        <f>13.9819 * CHOOSE(CONTROL!$C$19, $C$13, 100%, $E$13)</f>
        <v>13.9819</v>
      </c>
    </row>
    <row r="795" spans="1:11" ht="15">
      <c r="A795" s="13">
        <v>66051</v>
      </c>
      <c r="B795" s="60">
        <f>11.6765 * CHOOSE(CONTROL!$C$19, $C$13, 100%, $E$13)</f>
        <v>11.676500000000001</v>
      </c>
      <c r="C795" s="60">
        <f>11.6765 * CHOOSE(CONTROL!$C$19, $C$13, 100%, $E$13)</f>
        <v>11.676500000000001</v>
      </c>
      <c r="D795" s="60">
        <f>11.6916 * CHOOSE(CONTROL!$C$19, $C$13, 100%, $E$13)</f>
        <v>11.691599999999999</v>
      </c>
      <c r="E795" s="61">
        <f>14.0315 * CHOOSE(CONTROL!$C$19, $C$13, 100%, $E$13)</f>
        <v>14.031499999999999</v>
      </c>
      <c r="F795" s="61">
        <f>14.0315 * CHOOSE(CONTROL!$C$19, $C$13, 100%, $E$13)</f>
        <v>14.031499999999999</v>
      </c>
      <c r="G795" s="61">
        <f>14.0317 * CHOOSE(CONTROL!$C$19, $C$13, 100%, $E$13)</f>
        <v>14.031700000000001</v>
      </c>
      <c r="H795" s="61">
        <f>19.4066* CHOOSE(CONTROL!$C$19, $C$13, 100%, $E$13)</f>
        <v>19.406600000000001</v>
      </c>
      <c r="I795" s="61">
        <f>19.4067 * CHOOSE(CONTROL!$C$19, $C$13, 100%, $E$13)</f>
        <v>19.406700000000001</v>
      </c>
      <c r="J795" s="61">
        <f>14.0315 * CHOOSE(CONTROL!$C$19, $C$13, 100%, $E$13)</f>
        <v>14.031499999999999</v>
      </c>
      <c r="K795" s="61">
        <f>14.0317 * CHOOSE(CONTROL!$C$19, $C$13, 100%, $E$13)</f>
        <v>14.031700000000001</v>
      </c>
    </row>
    <row r="796" spans="1:11" ht="15">
      <c r="A796" s="13">
        <v>66081</v>
      </c>
      <c r="B796" s="60">
        <f>11.6765 * CHOOSE(CONTROL!$C$19, $C$13, 100%, $E$13)</f>
        <v>11.676500000000001</v>
      </c>
      <c r="C796" s="60">
        <f>11.6765 * CHOOSE(CONTROL!$C$19, $C$13, 100%, $E$13)</f>
        <v>11.676500000000001</v>
      </c>
      <c r="D796" s="60">
        <f>11.6916 * CHOOSE(CONTROL!$C$19, $C$13, 100%, $E$13)</f>
        <v>11.691599999999999</v>
      </c>
      <c r="E796" s="61">
        <f>13.9123 * CHOOSE(CONTROL!$C$19, $C$13, 100%, $E$13)</f>
        <v>13.9123</v>
      </c>
      <c r="F796" s="61">
        <f>13.9123 * CHOOSE(CONTROL!$C$19, $C$13, 100%, $E$13)</f>
        <v>13.9123</v>
      </c>
      <c r="G796" s="61">
        <f>13.9125 * CHOOSE(CONTROL!$C$19, $C$13, 100%, $E$13)</f>
        <v>13.9125</v>
      </c>
      <c r="H796" s="61">
        <f>19.447* CHOOSE(CONTROL!$C$19, $C$13, 100%, $E$13)</f>
        <v>19.446999999999999</v>
      </c>
      <c r="I796" s="61">
        <f>19.4472 * CHOOSE(CONTROL!$C$19, $C$13, 100%, $E$13)</f>
        <v>19.447199999999999</v>
      </c>
      <c r="J796" s="61">
        <f>13.9123 * CHOOSE(CONTROL!$C$19, $C$13, 100%, $E$13)</f>
        <v>13.9123</v>
      </c>
      <c r="K796" s="61">
        <f>13.9125 * CHOOSE(CONTROL!$C$19, $C$13, 100%, $E$13)</f>
        <v>13.9125</v>
      </c>
    </row>
    <row r="797" spans="1:11" ht="15">
      <c r="A797" s="13">
        <v>66112</v>
      </c>
      <c r="B797" s="60">
        <f>11.6766 * CHOOSE(CONTROL!$C$19, $C$13, 100%, $E$13)</f>
        <v>11.676600000000001</v>
      </c>
      <c r="C797" s="60">
        <f>11.6766 * CHOOSE(CONTROL!$C$19, $C$13, 100%, $E$13)</f>
        <v>11.676600000000001</v>
      </c>
      <c r="D797" s="60">
        <f>11.6918 * CHOOSE(CONTROL!$C$19, $C$13, 100%, $E$13)</f>
        <v>11.691800000000001</v>
      </c>
      <c r="E797" s="61">
        <f>13.9957 * CHOOSE(CONTROL!$C$19, $C$13, 100%, $E$13)</f>
        <v>13.995699999999999</v>
      </c>
      <c r="F797" s="61">
        <f>13.9957 * CHOOSE(CONTROL!$C$19, $C$13, 100%, $E$13)</f>
        <v>13.995699999999999</v>
      </c>
      <c r="G797" s="61">
        <f>13.9959 * CHOOSE(CONTROL!$C$19, $C$13, 100%, $E$13)</f>
        <v>13.995900000000001</v>
      </c>
      <c r="H797" s="61">
        <f>19.3315* CHOOSE(CONTROL!$C$19, $C$13, 100%, $E$13)</f>
        <v>19.331499999999998</v>
      </c>
      <c r="I797" s="61">
        <f>19.3317 * CHOOSE(CONTROL!$C$19, $C$13, 100%, $E$13)</f>
        <v>19.331700000000001</v>
      </c>
      <c r="J797" s="61">
        <f>13.9957 * CHOOSE(CONTROL!$C$19, $C$13, 100%, $E$13)</f>
        <v>13.995699999999999</v>
      </c>
      <c r="K797" s="61">
        <f>13.9959 * CHOOSE(CONTROL!$C$19, $C$13, 100%, $E$13)</f>
        <v>13.995900000000001</v>
      </c>
    </row>
    <row r="798" spans="1:11" ht="15">
      <c r="A798" s="13">
        <v>66143</v>
      </c>
      <c r="B798" s="60">
        <f>11.6735 * CHOOSE(CONTROL!$C$19, $C$13, 100%, $E$13)</f>
        <v>11.673500000000001</v>
      </c>
      <c r="C798" s="60">
        <f>11.6735 * CHOOSE(CONTROL!$C$19, $C$13, 100%, $E$13)</f>
        <v>11.673500000000001</v>
      </c>
      <c r="D798" s="60">
        <f>11.6887 * CHOOSE(CONTROL!$C$19, $C$13, 100%, $E$13)</f>
        <v>11.688700000000001</v>
      </c>
      <c r="E798" s="61">
        <f>13.7638 * CHOOSE(CONTROL!$C$19, $C$13, 100%, $E$13)</f>
        <v>13.7638</v>
      </c>
      <c r="F798" s="61">
        <f>13.7638 * CHOOSE(CONTROL!$C$19, $C$13, 100%, $E$13)</f>
        <v>13.7638</v>
      </c>
      <c r="G798" s="61">
        <f>13.764 * CHOOSE(CONTROL!$C$19, $C$13, 100%, $E$13)</f>
        <v>13.763999999999999</v>
      </c>
      <c r="H798" s="61">
        <f>19.3718* CHOOSE(CONTROL!$C$19, $C$13, 100%, $E$13)</f>
        <v>19.3718</v>
      </c>
      <c r="I798" s="61">
        <f>19.372 * CHOOSE(CONTROL!$C$19, $C$13, 100%, $E$13)</f>
        <v>19.372</v>
      </c>
      <c r="J798" s="61">
        <f>13.7638 * CHOOSE(CONTROL!$C$19, $C$13, 100%, $E$13)</f>
        <v>13.7638</v>
      </c>
      <c r="K798" s="61">
        <f>13.764 * CHOOSE(CONTROL!$C$19, $C$13, 100%, $E$13)</f>
        <v>13.763999999999999</v>
      </c>
    </row>
    <row r="799" spans="1:11" ht="15">
      <c r="A799" s="13">
        <v>66171</v>
      </c>
      <c r="B799" s="60">
        <f>11.6705 * CHOOSE(CONTROL!$C$19, $C$13, 100%, $E$13)</f>
        <v>11.670500000000001</v>
      </c>
      <c r="C799" s="60">
        <f>11.6705 * CHOOSE(CONTROL!$C$19, $C$13, 100%, $E$13)</f>
        <v>11.670500000000001</v>
      </c>
      <c r="D799" s="60">
        <f>11.6857 * CHOOSE(CONTROL!$C$19, $C$13, 100%, $E$13)</f>
        <v>11.685700000000001</v>
      </c>
      <c r="E799" s="61">
        <f>13.9428 * CHOOSE(CONTROL!$C$19, $C$13, 100%, $E$13)</f>
        <v>13.9428</v>
      </c>
      <c r="F799" s="61">
        <f>13.9428 * CHOOSE(CONTROL!$C$19, $C$13, 100%, $E$13)</f>
        <v>13.9428</v>
      </c>
      <c r="G799" s="61">
        <f>13.943 * CHOOSE(CONTROL!$C$19, $C$13, 100%, $E$13)</f>
        <v>13.943</v>
      </c>
      <c r="H799" s="61">
        <f>19.4121* CHOOSE(CONTROL!$C$19, $C$13, 100%, $E$13)</f>
        <v>19.412099999999999</v>
      </c>
      <c r="I799" s="61">
        <f>19.4123 * CHOOSE(CONTROL!$C$19, $C$13, 100%, $E$13)</f>
        <v>19.412299999999998</v>
      </c>
      <c r="J799" s="61">
        <f>13.9428 * CHOOSE(CONTROL!$C$19, $C$13, 100%, $E$13)</f>
        <v>13.9428</v>
      </c>
      <c r="K799" s="61">
        <f>13.943 * CHOOSE(CONTROL!$C$19, $C$13, 100%, $E$13)</f>
        <v>13.943</v>
      </c>
    </row>
    <row r="800" spans="1:11" ht="15">
      <c r="A800" s="13">
        <v>66202</v>
      </c>
      <c r="B800" s="60">
        <f>11.6757 * CHOOSE(CONTROL!$C$19, $C$13, 100%, $E$13)</f>
        <v>11.675700000000001</v>
      </c>
      <c r="C800" s="60">
        <f>11.6757 * CHOOSE(CONTROL!$C$19, $C$13, 100%, $E$13)</f>
        <v>11.675700000000001</v>
      </c>
      <c r="D800" s="60">
        <f>11.6909 * CHOOSE(CONTROL!$C$19, $C$13, 100%, $E$13)</f>
        <v>11.690899999999999</v>
      </c>
      <c r="E800" s="61">
        <f>14.1332 * CHOOSE(CONTROL!$C$19, $C$13, 100%, $E$13)</f>
        <v>14.1332</v>
      </c>
      <c r="F800" s="61">
        <f>14.1332 * CHOOSE(CONTROL!$C$19, $C$13, 100%, $E$13)</f>
        <v>14.1332</v>
      </c>
      <c r="G800" s="61">
        <f>14.1333 * CHOOSE(CONTROL!$C$19, $C$13, 100%, $E$13)</f>
        <v>14.1333</v>
      </c>
      <c r="H800" s="61">
        <f>19.4526* CHOOSE(CONTROL!$C$19, $C$13, 100%, $E$13)</f>
        <v>19.4526</v>
      </c>
      <c r="I800" s="61">
        <f>19.4528 * CHOOSE(CONTROL!$C$19, $C$13, 100%, $E$13)</f>
        <v>19.4528</v>
      </c>
      <c r="J800" s="61">
        <f>14.1332 * CHOOSE(CONTROL!$C$19, $C$13, 100%, $E$13)</f>
        <v>14.1332</v>
      </c>
      <c r="K800" s="61">
        <f>14.1333 * CHOOSE(CONTROL!$C$19, $C$13, 100%, $E$13)</f>
        <v>14.1333</v>
      </c>
    </row>
    <row r="801" spans="1:11" ht="15">
      <c r="A801" s="13">
        <v>66232</v>
      </c>
      <c r="B801" s="60">
        <f>11.6757 * CHOOSE(CONTROL!$C$19, $C$13, 100%, $E$13)</f>
        <v>11.675700000000001</v>
      </c>
      <c r="C801" s="60">
        <f>11.6757 * CHOOSE(CONTROL!$C$19, $C$13, 100%, $E$13)</f>
        <v>11.675700000000001</v>
      </c>
      <c r="D801" s="60">
        <f>11.7061 * CHOOSE(CONTROL!$C$19, $C$13, 100%, $E$13)</f>
        <v>11.706099999999999</v>
      </c>
      <c r="E801" s="61">
        <f>14.2061 * CHOOSE(CONTROL!$C$19, $C$13, 100%, $E$13)</f>
        <v>14.206099999999999</v>
      </c>
      <c r="F801" s="61">
        <f>14.2061 * CHOOSE(CONTROL!$C$19, $C$13, 100%, $E$13)</f>
        <v>14.206099999999999</v>
      </c>
      <c r="G801" s="61">
        <f>14.208 * CHOOSE(CONTROL!$C$19, $C$13, 100%, $E$13)</f>
        <v>14.208</v>
      </c>
      <c r="H801" s="61">
        <f>19.4931* CHOOSE(CONTROL!$C$19, $C$13, 100%, $E$13)</f>
        <v>19.493099999999998</v>
      </c>
      <c r="I801" s="61">
        <f>19.495 * CHOOSE(CONTROL!$C$19, $C$13, 100%, $E$13)</f>
        <v>19.495000000000001</v>
      </c>
      <c r="J801" s="61">
        <f>14.2061 * CHOOSE(CONTROL!$C$19, $C$13, 100%, $E$13)</f>
        <v>14.206099999999999</v>
      </c>
      <c r="K801" s="61">
        <f>14.208 * CHOOSE(CONTROL!$C$19, $C$13, 100%, $E$13)</f>
        <v>14.208</v>
      </c>
    </row>
    <row r="802" spans="1:11" ht="15">
      <c r="A802" s="13">
        <v>66263</v>
      </c>
      <c r="B802" s="60">
        <f>11.6818 * CHOOSE(CONTROL!$C$19, $C$13, 100%, $E$13)</f>
        <v>11.681800000000001</v>
      </c>
      <c r="C802" s="60">
        <f>11.6818 * CHOOSE(CONTROL!$C$19, $C$13, 100%, $E$13)</f>
        <v>11.681800000000001</v>
      </c>
      <c r="D802" s="60">
        <f>11.7122 * CHOOSE(CONTROL!$C$19, $C$13, 100%, $E$13)</f>
        <v>11.712199999999999</v>
      </c>
      <c r="E802" s="61">
        <f>14.1374 * CHOOSE(CONTROL!$C$19, $C$13, 100%, $E$13)</f>
        <v>14.1374</v>
      </c>
      <c r="F802" s="61">
        <f>14.1374 * CHOOSE(CONTROL!$C$19, $C$13, 100%, $E$13)</f>
        <v>14.1374</v>
      </c>
      <c r="G802" s="61">
        <f>14.1393 * CHOOSE(CONTROL!$C$19, $C$13, 100%, $E$13)</f>
        <v>14.1393</v>
      </c>
      <c r="H802" s="61">
        <f>19.5337* CHOOSE(CONTROL!$C$19, $C$13, 100%, $E$13)</f>
        <v>19.5337</v>
      </c>
      <c r="I802" s="61">
        <f>19.5356 * CHOOSE(CONTROL!$C$19, $C$13, 100%, $E$13)</f>
        <v>19.535599999999999</v>
      </c>
      <c r="J802" s="61">
        <f>14.1374 * CHOOSE(CONTROL!$C$19, $C$13, 100%, $E$13)</f>
        <v>14.1374</v>
      </c>
      <c r="K802" s="61">
        <f>14.1393 * CHOOSE(CONTROL!$C$19, $C$13, 100%, $E$13)</f>
        <v>14.1393</v>
      </c>
    </row>
    <row r="803" spans="1:11" ht="15">
      <c r="A803" s="13">
        <v>66293</v>
      </c>
      <c r="B803" s="60">
        <f>11.845 * CHOOSE(CONTROL!$C$19, $C$13, 100%, $E$13)</f>
        <v>11.845000000000001</v>
      </c>
      <c r="C803" s="60">
        <f>11.845 * CHOOSE(CONTROL!$C$19, $C$13, 100%, $E$13)</f>
        <v>11.845000000000001</v>
      </c>
      <c r="D803" s="60">
        <f>11.8753 * CHOOSE(CONTROL!$C$19, $C$13, 100%, $E$13)</f>
        <v>11.875299999999999</v>
      </c>
      <c r="E803" s="61">
        <f>14.3948 * CHOOSE(CONTROL!$C$19, $C$13, 100%, $E$13)</f>
        <v>14.3948</v>
      </c>
      <c r="F803" s="61">
        <f>14.3948 * CHOOSE(CONTROL!$C$19, $C$13, 100%, $E$13)</f>
        <v>14.3948</v>
      </c>
      <c r="G803" s="61">
        <f>14.3967 * CHOOSE(CONTROL!$C$19, $C$13, 100%, $E$13)</f>
        <v>14.396699999999999</v>
      </c>
      <c r="H803" s="61">
        <f>19.5744* CHOOSE(CONTROL!$C$19, $C$13, 100%, $E$13)</f>
        <v>19.574400000000001</v>
      </c>
      <c r="I803" s="61">
        <f>19.5763 * CHOOSE(CONTROL!$C$19, $C$13, 100%, $E$13)</f>
        <v>19.5763</v>
      </c>
      <c r="J803" s="61">
        <f>14.3948 * CHOOSE(CONTROL!$C$19, $C$13, 100%, $E$13)</f>
        <v>14.3948</v>
      </c>
      <c r="K803" s="61">
        <f>14.3967 * CHOOSE(CONTROL!$C$19, $C$13, 100%, $E$13)</f>
        <v>14.396699999999999</v>
      </c>
    </row>
    <row r="804" spans="1:11" ht="15">
      <c r="A804" s="13">
        <v>66324</v>
      </c>
      <c r="B804" s="60">
        <f>11.8516 * CHOOSE(CONTROL!$C$19, $C$13, 100%, $E$13)</f>
        <v>11.851599999999999</v>
      </c>
      <c r="C804" s="60">
        <f>11.8516 * CHOOSE(CONTROL!$C$19, $C$13, 100%, $E$13)</f>
        <v>11.851599999999999</v>
      </c>
      <c r="D804" s="60">
        <f>11.882 * CHOOSE(CONTROL!$C$19, $C$13, 100%, $E$13)</f>
        <v>11.882</v>
      </c>
      <c r="E804" s="61">
        <f>14.1806 * CHOOSE(CONTROL!$C$19, $C$13, 100%, $E$13)</f>
        <v>14.1806</v>
      </c>
      <c r="F804" s="61">
        <f>14.1806 * CHOOSE(CONTROL!$C$19, $C$13, 100%, $E$13)</f>
        <v>14.1806</v>
      </c>
      <c r="G804" s="61">
        <f>14.1825 * CHOOSE(CONTROL!$C$19, $C$13, 100%, $E$13)</f>
        <v>14.182499999999999</v>
      </c>
      <c r="H804" s="61">
        <f>19.6152* CHOOSE(CONTROL!$C$19, $C$13, 100%, $E$13)</f>
        <v>19.615200000000002</v>
      </c>
      <c r="I804" s="61">
        <f>19.6171 * CHOOSE(CONTROL!$C$19, $C$13, 100%, $E$13)</f>
        <v>19.617100000000001</v>
      </c>
      <c r="J804" s="61">
        <f>14.1806 * CHOOSE(CONTROL!$C$19, $C$13, 100%, $E$13)</f>
        <v>14.1806</v>
      </c>
      <c r="K804" s="61">
        <f>14.1825 * CHOOSE(CONTROL!$C$19, $C$13, 100%, $E$13)</f>
        <v>14.182499999999999</v>
      </c>
    </row>
    <row r="805" spans="1:11" ht="15">
      <c r="A805" s="13">
        <v>66355</v>
      </c>
      <c r="B805" s="60">
        <f>11.8486 * CHOOSE(CONTROL!$C$19, $C$13, 100%, $E$13)</f>
        <v>11.848599999999999</v>
      </c>
      <c r="C805" s="60">
        <f>11.8486 * CHOOSE(CONTROL!$C$19, $C$13, 100%, $E$13)</f>
        <v>11.848599999999999</v>
      </c>
      <c r="D805" s="60">
        <f>11.879 * CHOOSE(CONTROL!$C$19, $C$13, 100%, $E$13)</f>
        <v>11.879</v>
      </c>
      <c r="E805" s="61">
        <f>14.1541 * CHOOSE(CONTROL!$C$19, $C$13, 100%, $E$13)</f>
        <v>14.1541</v>
      </c>
      <c r="F805" s="61">
        <f>14.1541 * CHOOSE(CONTROL!$C$19, $C$13, 100%, $E$13)</f>
        <v>14.1541</v>
      </c>
      <c r="G805" s="61">
        <f>14.156 * CHOOSE(CONTROL!$C$19, $C$13, 100%, $E$13)</f>
        <v>14.156000000000001</v>
      </c>
      <c r="H805" s="61">
        <f>19.6561* CHOOSE(CONTROL!$C$19, $C$13, 100%, $E$13)</f>
        <v>19.656099999999999</v>
      </c>
      <c r="I805" s="61">
        <f>19.658 * CHOOSE(CONTROL!$C$19, $C$13, 100%, $E$13)</f>
        <v>19.658000000000001</v>
      </c>
      <c r="J805" s="61">
        <f>14.1541 * CHOOSE(CONTROL!$C$19, $C$13, 100%, $E$13)</f>
        <v>14.1541</v>
      </c>
      <c r="K805" s="61">
        <f>14.156 * CHOOSE(CONTROL!$C$19, $C$13, 100%, $E$13)</f>
        <v>14.156000000000001</v>
      </c>
    </row>
    <row r="806" spans="1:11" ht="15">
      <c r="A806" s="13">
        <v>66385</v>
      </c>
      <c r="B806" s="60">
        <f>11.8735 * CHOOSE(CONTROL!$C$19, $C$13, 100%, $E$13)</f>
        <v>11.8735</v>
      </c>
      <c r="C806" s="60">
        <f>11.8735 * CHOOSE(CONTROL!$C$19, $C$13, 100%, $E$13)</f>
        <v>11.8735</v>
      </c>
      <c r="D806" s="60">
        <f>11.8887 * CHOOSE(CONTROL!$C$19, $C$13, 100%, $E$13)</f>
        <v>11.8887</v>
      </c>
      <c r="E806" s="61">
        <f>14.238 * CHOOSE(CONTROL!$C$19, $C$13, 100%, $E$13)</f>
        <v>14.238</v>
      </c>
      <c r="F806" s="61">
        <f>14.238 * CHOOSE(CONTROL!$C$19, $C$13, 100%, $E$13)</f>
        <v>14.238</v>
      </c>
      <c r="G806" s="61">
        <f>14.2382 * CHOOSE(CONTROL!$C$19, $C$13, 100%, $E$13)</f>
        <v>14.238200000000001</v>
      </c>
      <c r="H806" s="61">
        <f>19.697* CHOOSE(CONTROL!$C$19, $C$13, 100%, $E$13)</f>
        <v>19.696999999999999</v>
      </c>
      <c r="I806" s="61">
        <f>19.6972 * CHOOSE(CONTROL!$C$19, $C$13, 100%, $E$13)</f>
        <v>19.697199999999999</v>
      </c>
      <c r="J806" s="61">
        <f>14.238 * CHOOSE(CONTROL!$C$19, $C$13, 100%, $E$13)</f>
        <v>14.238</v>
      </c>
      <c r="K806" s="61">
        <f>14.2382 * CHOOSE(CONTROL!$C$19, $C$13, 100%, $E$13)</f>
        <v>14.238200000000001</v>
      </c>
    </row>
    <row r="807" spans="1:11" ht="15">
      <c r="A807" s="13">
        <v>66416</v>
      </c>
      <c r="B807" s="60">
        <f>11.8765 * CHOOSE(CONTROL!$C$19, $C$13, 100%, $E$13)</f>
        <v>11.8765</v>
      </c>
      <c r="C807" s="60">
        <f>11.8765 * CHOOSE(CONTROL!$C$19, $C$13, 100%, $E$13)</f>
        <v>11.8765</v>
      </c>
      <c r="D807" s="60">
        <f>11.8917 * CHOOSE(CONTROL!$C$19, $C$13, 100%, $E$13)</f>
        <v>11.8917</v>
      </c>
      <c r="E807" s="61">
        <f>14.2887 * CHOOSE(CONTROL!$C$19, $C$13, 100%, $E$13)</f>
        <v>14.2887</v>
      </c>
      <c r="F807" s="61">
        <f>14.2887 * CHOOSE(CONTROL!$C$19, $C$13, 100%, $E$13)</f>
        <v>14.2887</v>
      </c>
      <c r="G807" s="61">
        <f>14.2889 * CHOOSE(CONTROL!$C$19, $C$13, 100%, $E$13)</f>
        <v>14.2889</v>
      </c>
      <c r="H807" s="61">
        <f>19.738* CHOOSE(CONTROL!$C$19, $C$13, 100%, $E$13)</f>
        <v>19.738</v>
      </c>
      <c r="I807" s="61">
        <f>19.7382 * CHOOSE(CONTROL!$C$19, $C$13, 100%, $E$13)</f>
        <v>19.738199999999999</v>
      </c>
      <c r="J807" s="61">
        <f>14.2887 * CHOOSE(CONTROL!$C$19, $C$13, 100%, $E$13)</f>
        <v>14.2887</v>
      </c>
      <c r="K807" s="61">
        <f>14.2889 * CHOOSE(CONTROL!$C$19, $C$13, 100%, $E$13)</f>
        <v>14.2889</v>
      </c>
    </row>
    <row r="808" spans="1:11" ht="15">
      <c r="A808" s="13">
        <v>66446</v>
      </c>
      <c r="B808" s="60">
        <f>11.8765 * CHOOSE(CONTROL!$C$19, $C$13, 100%, $E$13)</f>
        <v>11.8765</v>
      </c>
      <c r="C808" s="60">
        <f>11.8765 * CHOOSE(CONTROL!$C$19, $C$13, 100%, $E$13)</f>
        <v>11.8765</v>
      </c>
      <c r="D808" s="60">
        <f>11.8917 * CHOOSE(CONTROL!$C$19, $C$13, 100%, $E$13)</f>
        <v>11.8917</v>
      </c>
      <c r="E808" s="61">
        <f>14.1671 * CHOOSE(CONTROL!$C$19, $C$13, 100%, $E$13)</f>
        <v>14.1671</v>
      </c>
      <c r="F808" s="61">
        <f>14.1671 * CHOOSE(CONTROL!$C$19, $C$13, 100%, $E$13)</f>
        <v>14.1671</v>
      </c>
      <c r="G808" s="61">
        <f>14.1673 * CHOOSE(CONTROL!$C$19, $C$13, 100%, $E$13)</f>
        <v>14.167299999999999</v>
      </c>
      <c r="H808" s="61">
        <f>19.7792* CHOOSE(CONTROL!$C$19, $C$13, 100%, $E$13)</f>
        <v>19.779199999999999</v>
      </c>
      <c r="I808" s="61">
        <f>19.7793 * CHOOSE(CONTROL!$C$19, $C$13, 100%, $E$13)</f>
        <v>19.779299999999999</v>
      </c>
      <c r="J808" s="61">
        <f>14.1671 * CHOOSE(CONTROL!$C$19, $C$13, 100%, $E$13)</f>
        <v>14.1671</v>
      </c>
      <c r="K808" s="61">
        <f>14.1673 * CHOOSE(CONTROL!$C$19, $C$13, 100%, $E$13)</f>
        <v>14.167299999999999</v>
      </c>
    </row>
    <row r="809" spans="1:11" ht="15">
      <c r="A809" s="13">
        <v>66477</v>
      </c>
      <c r="B809" s="60">
        <f>11.8732 * CHOOSE(CONTROL!$C$19, $C$13, 100%, $E$13)</f>
        <v>11.873200000000001</v>
      </c>
      <c r="C809" s="60">
        <f>11.8732 * CHOOSE(CONTROL!$C$19, $C$13, 100%, $E$13)</f>
        <v>11.873200000000001</v>
      </c>
      <c r="D809" s="60">
        <f>11.8884 * CHOOSE(CONTROL!$C$19, $C$13, 100%, $E$13)</f>
        <v>11.888400000000001</v>
      </c>
      <c r="E809" s="61">
        <f>14.2475 * CHOOSE(CONTROL!$C$19, $C$13, 100%, $E$13)</f>
        <v>14.2475</v>
      </c>
      <c r="F809" s="61">
        <f>14.2475 * CHOOSE(CONTROL!$C$19, $C$13, 100%, $E$13)</f>
        <v>14.2475</v>
      </c>
      <c r="G809" s="61">
        <f>14.2477 * CHOOSE(CONTROL!$C$19, $C$13, 100%, $E$13)</f>
        <v>14.2477</v>
      </c>
      <c r="H809" s="61">
        <f>19.6562* CHOOSE(CONTROL!$C$19, $C$13, 100%, $E$13)</f>
        <v>19.656199999999998</v>
      </c>
      <c r="I809" s="61">
        <f>19.6563 * CHOOSE(CONTROL!$C$19, $C$13, 100%, $E$13)</f>
        <v>19.656300000000002</v>
      </c>
      <c r="J809" s="61">
        <f>14.2475 * CHOOSE(CONTROL!$C$19, $C$13, 100%, $E$13)</f>
        <v>14.2475</v>
      </c>
      <c r="K809" s="61">
        <f>14.2477 * CHOOSE(CONTROL!$C$19, $C$13, 100%, $E$13)</f>
        <v>14.2477</v>
      </c>
    </row>
    <row r="810" spans="1:11" ht="15">
      <c r="A810" s="13">
        <v>66508</v>
      </c>
      <c r="B810" s="60">
        <f>11.8702 * CHOOSE(CONTROL!$C$19, $C$13, 100%, $E$13)</f>
        <v>11.870200000000001</v>
      </c>
      <c r="C810" s="60">
        <f>11.8702 * CHOOSE(CONTROL!$C$19, $C$13, 100%, $E$13)</f>
        <v>11.870200000000001</v>
      </c>
      <c r="D810" s="60">
        <f>11.8853 * CHOOSE(CONTROL!$C$19, $C$13, 100%, $E$13)</f>
        <v>11.885300000000001</v>
      </c>
      <c r="E810" s="61">
        <f>14.0112 * CHOOSE(CONTROL!$C$19, $C$13, 100%, $E$13)</f>
        <v>14.011200000000001</v>
      </c>
      <c r="F810" s="61">
        <f>14.0112 * CHOOSE(CONTROL!$C$19, $C$13, 100%, $E$13)</f>
        <v>14.011200000000001</v>
      </c>
      <c r="G810" s="61">
        <f>14.0113 * CHOOSE(CONTROL!$C$19, $C$13, 100%, $E$13)</f>
        <v>14.0113</v>
      </c>
      <c r="H810" s="61">
        <f>19.6971* CHOOSE(CONTROL!$C$19, $C$13, 100%, $E$13)</f>
        <v>19.697099999999999</v>
      </c>
      <c r="I810" s="61">
        <f>19.6973 * CHOOSE(CONTROL!$C$19, $C$13, 100%, $E$13)</f>
        <v>19.697299999999998</v>
      </c>
      <c r="J810" s="61">
        <f>14.0112 * CHOOSE(CONTROL!$C$19, $C$13, 100%, $E$13)</f>
        <v>14.011200000000001</v>
      </c>
      <c r="K810" s="61">
        <f>14.0113 * CHOOSE(CONTROL!$C$19, $C$13, 100%, $E$13)</f>
        <v>14.0113</v>
      </c>
    </row>
    <row r="811" spans="1:11" ht="15">
      <c r="A811" s="13">
        <v>66536</v>
      </c>
      <c r="B811" s="60">
        <f>11.8671 * CHOOSE(CONTROL!$C$19, $C$13, 100%, $E$13)</f>
        <v>11.867100000000001</v>
      </c>
      <c r="C811" s="60">
        <f>11.8671 * CHOOSE(CONTROL!$C$19, $C$13, 100%, $E$13)</f>
        <v>11.867100000000001</v>
      </c>
      <c r="D811" s="60">
        <f>11.8823 * CHOOSE(CONTROL!$C$19, $C$13, 100%, $E$13)</f>
        <v>11.882300000000001</v>
      </c>
      <c r="E811" s="61">
        <f>14.1937 * CHOOSE(CONTROL!$C$19, $C$13, 100%, $E$13)</f>
        <v>14.1937</v>
      </c>
      <c r="F811" s="61">
        <f>14.1937 * CHOOSE(CONTROL!$C$19, $C$13, 100%, $E$13)</f>
        <v>14.1937</v>
      </c>
      <c r="G811" s="61">
        <f>14.1939 * CHOOSE(CONTROL!$C$19, $C$13, 100%, $E$13)</f>
        <v>14.193899999999999</v>
      </c>
      <c r="H811" s="61">
        <f>19.7382* CHOOSE(CONTROL!$C$19, $C$13, 100%, $E$13)</f>
        <v>19.738199999999999</v>
      </c>
      <c r="I811" s="61">
        <f>19.7383 * CHOOSE(CONTROL!$C$19, $C$13, 100%, $E$13)</f>
        <v>19.738299999999999</v>
      </c>
      <c r="J811" s="61">
        <f>14.1937 * CHOOSE(CONTROL!$C$19, $C$13, 100%, $E$13)</f>
        <v>14.1937</v>
      </c>
      <c r="K811" s="61">
        <f>14.1939 * CHOOSE(CONTROL!$C$19, $C$13, 100%, $E$13)</f>
        <v>14.193899999999999</v>
      </c>
    </row>
    <row r="812" spans="1:11" ht="15">
      <c r="A812" s="13">
        <v>66567</v>
      </c>
      <c r="B812" s="60">
        <f>11.8725 * CHOOSE(CONTROL!$C$19, $C$13, 100%, $E$13)</f>
        <v>11.8725</v>
      </c>
      <c r="C812" s="60">
        <f>11.8725 * CHOOSE(CONTROL!$C$19, $C$13, 100%, $E$13)</f>
        <v>11.8725</v>
      </c>
      <c r="D812" s="60">
        <f>11.8877 * CHOOSE(CONTROL!$C$19, $C$13, 100%, $E$13)</f>
        <v>11.887700000000001</v>
      </c>
      <c r="E812" s="61">
        <f>14.3878 * CHOOSE(CONTROL!$C$19, $C$13, 100%, $E$13)</f>
        <v>14.3878</v>
      </c>
      <c r="F812" s="61">
        <f>14.3878 * CHOOSE(CONTROL!$C$19, $C$13, 100%, $E$13)</f>
        <v>14.3878</v>
      </c>
      <c r="G812" s="61">
        <f>14.388 * CHOOSE(CONTROL!$C$19, $C$13, 100%, $E$13)</f>
        <v>14.388</v>
      </c>
      <c r="H812" s="61">
        <f>19.7793* CHOOSE(CONTROL!$C$19, $C$13, 100%, $E$13)</f>
        <v>19.779299999999999</v>
      </c>
      <c r="I812" s="61">
        <f>19.7795 * CHOOSE(CONTROL!$C$19, $C$13, 100%, $E$13)</f>
        <v>19.779499999999999</v>
      </c>
      <c r="J812" s="61">
        <f>14.3878 * CHOOSE(CONTROL!$C$19, $C$13, 100%, $E$13)</f>
        <v>14.3878</v>
      </c>
      <c r="K812" s="61">
        <f>14.388 * CHOOSE(CONTROL!$C$19, $C$13, 100%, $E$13)</f>
        <v>14.388</v>
      </c>
    </row>
    <row r="813" spans="1:11" ht="15">
      <c r="A813" s="13">
        <v>66597</v>
      </c>
      <c r="B813" s="60">
        <f>11.8725 * CHOOSE(CONTROL!$C$19, $C$13, 100%, $E$13)</f>
        <v>11.8725</v>
      </c>
      <c r="C813" s="60">
        <f>11.8725 * CHOOSE(CONTROL!$C$19, $C$13, 100%, $E$13)</f>
        <v>11.8725</v>
      </c>
      <c r="D813" s="60">
        <f>11.9029 * CHOOSE(CONTROL!$C$19, $C$13, 100%, $E$13)</f>
        <v>11.902900000000001</v>
      </c>
      <c r="E813" s="61">
        <f>14.4622 * CHOOSE(CONTROL!$C$19, $C$13, 100%, $E$13)</f>
        <v>14.462199999999999</v>
      </c>
      <c r="F813" s="61">
        <f>14.4622 * CHOOSE(CONTROL!$C$19, $C$13, 100%, $E$13)</f>
        <v>14.462199999999999</v>
      </c>
      <c r="G813" s="61">
        <f>14.4641 * CHOOSE(CONTROL!$C$19, $C$13, 100%, $E$13)</f>
        <v>14.4641</v>
      </c>
      <c r="H813" s="61">
        <f>19.8205* CHOOSE(CONTROL!$C$19, $C$13, 100%, $E$13)</f>
        <v>19.820499999999999</v>
      </c>
      <c r="I813" s="61">
        <f>19.8224 * CHOOSE(CONTROL!$C$19, $C$13, 100%, $E$13)</f>
        <v>19.822399999999998</v>
      </c>
      <c r="J813" s="61">
        <f>14.4622 * CHOOSE(CONTROL!$C$19, $C$13, 100%, $E$13)</f>
        <v>14.462199999999999</v>
      </c>
      <c r="K813" s="61">
        <f>14.4641 * CHOOSE(CONTROL!$C$19, $C$13, 100%, $E$13)</f>
        <v>14.4641</v>
      </c>
    </row>
    <row r="814" spans="1:11" ht="15">
      <c r="A814" s="13">
        <v>66628</v>
      </c>
      <c r="B814" s="60">
        <f>11.8786 * CHOOSE(CONTROL!$C$19, $C$13, 100%, $E$13)</f>
        <v>11.8786</v>
      </c>
      <c r="C814" s="60">
        <f>11.8786 * CHOOSE(CONTROL!$C$19, $C$13, 100%, $E$13)</f>
        <v>11.8786</v>
      </c>
      <c r="D814" s="60">
        <f>11.909 * CHOOSE(CONTROL!$C$19, $C$13, 100%, $E$13)</f>
        <v>11.909000000000001</v>
      </c>
      <c r="E814" s="61">
        <f>14.3921 * CHOOSE(CONTROL!$C$19, $C$13, 100%, $E$13)</f>
        <v>14.392099999999999</v>
      </c>
      <c r="F814" s="61">
        <f>14.3921 * CHOOSE(CONTROL!$C$19, $C$13, 100%, $E$13)</f>
        <v>14.392099999999999</v>
      </c>
      <c r="G814" s="61">
        <f>14.394 * CHOOSE(CONTROL!$C$19, $C$13, 100%, $E$13)</f>
        <v>14.394</v>
      </c>
      <c r="H814" s="61">
        <f>19.8618* CHOOSE(CONTROL!$C$19, $C$13, 100%, $E$13)</f>
        <v>19.861799999999999</v>
      </c>
      <c r="I814" s="61">
        <f>19.8637 * CHOOSE(CONTROL!$C$19, $C$13, 100%, $E$13)</f>
        <v>19.863700000000001</v>
      </c>
      <c r="J814" s="61">
        <f>14.3921 * CHOOSE(CONTROL!$C$19, $C$13, 100%, $E$13)</f>
        <v>14.392099999999999</v>
      </c>
      <c r="K814" s="61">
        <f>14.394 * CHOOSE(CONTROL!$C$19, $C$13, 100%, $E$13)</f>
        <v>14.394</v>
      </c>
    </row>
    <row r="815" spans="1:11" ht="15">
      <c r="A815" s="13">
        <v>66658</v>
      </c>
      <c r="B815" s="60">
        <f>12.0443 * CHOOSE(CONTROL!$C$19, $C$13, 100%, $E$13)</f>
        <v>12.0443</v>
      </c>
      <c r="C815" s="60">
        <f>12.0443 * CHOOSE(CONTROL!$C$19, $C$13, 100%, $E$13)</f>
        <v>12.0443</v>
      </c>
      <c r="D815" s="60">
        <f>12.0746 * CHOOSE(CONTROL!$C$19, $C$13, 100%, $E$13)</f>
        <v>12.0746</v>
      </c>
      <c r="E815" s="61">
        <f>14.6539 * CHOOSE(CONTROL!$C$19, $C$13, 100%, $E$13)</f>
        <v>14.6539</v>
      </c>
      <c r="F815" s="61">
        <f>14.6539 * CHOOSE(CONTROL!$C$19, $C$13, 100%, $E$13)</f>
        <v>14.6539</v>
      </c>
      <c r="G815" s="61">
        <f>14.6558 * CHOOSE(CONTROL!$C$19, $C$13, 100%, $E$13)</f>
        <v>14.655799999999999</v>
      </c>
      <c r="H815" s="61">
        <f>19.9032* CHOOSE(CONTROL!$C$19, $C$13, 100%, $E$13)</f>
        <v>19.903199999999998</v>
      </c>
      <c r="I815" s="61">
        <f>19.9051 * CHOOSE(CONTROL!$C$19, $C$13, 100%, $E$13)</f>
        <v>19.905100000000001</v>
      </c>
      <c r="J815" s="61">
        <f>14.6539 * CHOOSE(CONTROL!$C$19, $C$13, 100%, $E$13)</f>
        <v>14.6539</v>
      </c>
      <c r="K815" s="61">
        <f>14.6558 * CHOOSE(CONTROL!$C$19, $C$13, 100%, $E$13)</f>
        <v>14.655799999999999</v>
      </c>
    </row>
    <row r="816" spans="1:11" ht="15">
      <c r="A816" s="13">
        <v>66689</v>
      </c>
      <c r="B816" s="60">
        <f>12.051 * CHOOSE(CONTROL!$C$19, $C$13, 100%, $E$13)</f>
        <v>12.051</v>
      </c>
      <c r="C816" s="60">
        <f>12.051 * CHOOSE(CONTROL!$C$19, $C$13, 100%, $E$13)</f>
        <v>12.051</v>
      </c>
      <c r="D816" s="60">
        <f>12.0813 * CHOOSE(CONTROL!$C$19, $C$13, 100%, $E$13)</f>
        <v>12.081300000000001</v>
      </c>
      <c r="E816" s="61">
        <f>14.4354 * CHOOSE(CONTROL!$C$19, $C$13, 100%, $E$13)</f>
        <v>14.4354</v>
      </c>
      <c r="F816" s="61">
        <f>14.4354 * CHOOSE(CONTROL!$C$19, $C$13, 100%, $E$13)</f>
        <v>14.4354</v>
      </c>
      <c r="G816" s="61">
        <f>14.4373 * CHOOSE(CONTROL!$C$19, $C$13, 100%, $E$13)</f>
        <v>14.4373</v>
      </c>
      <c r="H816" s="61">
        <f>19.9446* CHOOSE(CONTROL!$C$19, $C$13, 100%, $E$13)</f>
        <v>19.944600000000001</v>
      </c>
      <c r="I816" s="61">
        <f>19.9465 * CHOOSE(CONTROL!$C$19, $C$13, 100%, $E$13)</f>
        <v>19.9465</v>
      </c>
      <c r="J816" s="61">
        <f>14.4354 * CHOOSE(CONTROL!$C$19, $C$13, 100%, $E$13)</f>
        <v>14.4354</v>
      </c>
      <c r="K816" s="61">
        <f>14.4373 * CHOOSE(CONTROL!$C$19, $C$13, 100%, $E$13)</f>
        <v>14.4373</v>
      </c>
    </row>
    <row r="817" spans="1:11" ht="15">
      <c r="A817" s="13">
        <v>66720</v>
      </c>
      <c r="B817" s="60">
        <f>12.0479 * CHOOSE(CONTROL!$C$19, $C$13, 100%, $E$13)</f>
        <v>12.0479</v>
      </c>
      <c r="C817" s="60">
        <f>12.0479 * CHOOSE(CONTROL!$C$19, $C$13, 100%, $E$13)</f>
        <v>12.0479</v>
      </c>
      <c r="D817" s="60">
        <f>12.0783 * CHOOSE(CONTROL!$C$19, $C$13, 100%, $E$13)</f>
        <v>12.0783</v>
      </c>
      <c r="E817" s="61">
        <f>14.4085 * CHOOSE(CONTROL!$C$19, $C$13, 100%, $E$13)</f>
        <v>14.4085</v>
      </c>
      <c r="F817" s="61">
        <f>14.4085 * CHOOSE(CONTROL!$C$19, $C$13, 100%, $E$13)</f>
        <v>14.4085</v>
      </c>
      <c r="G817" s="61">
        <f>14.4104 * CHOOSE(CONTROL!$C$19, $C$13, 100%, $E$13)</f>
        <v>14.410399999999999</v>
      </c>
      <c r="H817" s="61">
        <f>19.9862* CHOOSE(CONTROL!$C$19, $C$13, 100%, $E$13)</f>
        <v>19.9862</v>
      </c>
      <c r="I817" s="61">
        <f>19.9881 * CHOOSE(CONTROL!$C$19, $C$13, 100%, $E$13)</f>
        <v>19.988099999999999</v>
      </c>
      <c r="J817" s="61">
        <f>14.4085 * CHOOSE(CONTROL!$C$19, $C$13, 100%, $E$13)</f>
        <v>14.4085</v>
      </c>
      <c r="K817" s="61">
        <f>14.4104 * CHOOSE(CONTROL!$C$19, $C$13, 100%, $E$13)</f>
        <v>14.410399999999999</v>
      </c>
    </row>
    <row r="818" spans="1:11" ht="15">
      <c r="A818" s="13">
        <v>66750</v>
      </c>
      <c r="B818" s="60">
        <f>12.0736 * CHOOSE(CONTROL!$C$19, $C$13, 100%, $E$13)</f>
        <v>12.073600000000001</v>
      </c>
      <c r="C818" s="60">
        <f>12.0736 * CHOOSE(CONTROL!$C$19, $C$13, 100%, $E$13)</f>
        <v>12.073600000000001</v>
      </c>
      <c r="D818" s="60">
        <f>12.0887 * CHOOSE(CONTROL!$C$19, $C$13, 100%, $E$13)</f>
        <v>12.088699999999999</v>
      </c>
      <c r="E818" s="61">
        <f>14.4942 * CHOOSE(CONTROL!$C$19, $C$13, 100%, $E$13)</f>
        <v>14.494199999999999</v>
      </c>
      <c r="F818" s="61">
        <f>14.4942 * CHOOSE(CONTROL!$C$19, $C$13, 100%, $E$13)</f>
        <v>14.494199999999999</v>
      </c>
      <c r="G818" s="61">
        <f>14.4944 * CHOOSE(CONTROL!$C$19, $C$13, 100%, $E$13)</f>
        <v>14.494400000000001</v>
      </c>
      <c r="H818" s="61">
        <f>20.0278* CHOOSE(CONTROL!$C$19, $C$13, 100%, $E$13)</f>
        <v>20.027799999999999</v>
      </c>
      <c r="I818" s="61">
        <f>20.028 * CHOOSE(CONTROL!$C$19, $C$13, 100%, $E$13)</f>
        <v>20.027999999999999</v>
      </c>
      <c r="J818" s="61">
        <f>14.4942 * CHOOSE(CONTROL!$C$19, $C$13, 100%, $E$13)</f>
        <v>14.494199999999999</v>
      </c>
      <c r="K818" s="61">
        <f>14.4944 * CHOOSE(CONTROL!$C$19, $C$13, 100%, $E$13)</f>
        <v>14.494400000000001</v>
      </c>
    </row>
    <row r="819" spans="1:11" ht="15">
      <c r="A819" s="13">
        <v>66781</v>
      </c>
      <c r="B819" s="60">
        <f>12.0766 * CHOOSE(CONTROL!$C$19, $C$13, 100%, $E$13)</f>
        <v>12.076599999999999</v>
      </c>
      <c r="C819" s="60">
        <f>12.0766 * CHOOSE(CONTROL!$C$19, $C$13, 100%, $E$13)</f>
        <v>12.076599999999999</v>
      </c>
      <c r="D819" s="60">
        <f>12.0918 * CHOOSE(CONTROL!$C$19, $C$13, 100%, $E$13)</f>
        <v>12.091799999999999</v>
      </c>
      <c r="E819" s="61">
        <f>14.5459 * CHOOSE(CONTROL!$C$19, $C$13, 100%, $E$13)</f>
        <v>14.5459</v>
      </c>
      <c r="F819" s="61">
        <f>14.5459 * CHOOSE(CONTROL!$C$19, $C$13, 100%, $E$13)</f>
        <v>14.5459</v>
      </c>
      <c r="G819" s="61">
        <f>14.5461 * CHOOSE(CONTROL!$C$19, $C$13, 100%, $E$13)</f>
        <v>14.546099999999999</v>
      </c>
      <c r="H819" s="61">
        <f>20.0695* CHOOSE(CONTROL!$C$19, $C$13, 100%, $E$13)</f>
        <v>20.069500000000001</v>
      </c>
      <c r="I819" s="61">
        <f>20.0697 * CHOOSE(CONTROL!$C$19, $C$13, 100%, $E$13)</f>
        <v>20.069700000000001</v>
      </c>
      <c r="J819" s="61">
        <f>14.5459 * CHOOSE(CONTROL!$C$19, $C$13, 100%, $E$13)</f>
        <v>14.5459</v>
      </c>
      <c r="K819" s="61">
        <f>14.5461 * CHOOSE(CONTROL!$C$19, $C$13, 100%, $E$13)</f>
        <v>14.546099999999999</v>
      </c>
    </row>
    <row r="820" spans="1:11" ht="15">
      <c r="A820" s="13">
        <v>66811</v>
      </c>
      <c r="B820" s="60">
        <f>12.0766 * CHOOSE(CONTROL!$C$19, $C$13, 100%, $E$13)</f>
        <v>12.076599999999999</v>
      </c>
      <c r="C820" s="60">
        <f>12.0766 * CHOOSE(CONTROL!$C$19, $C$13, 100%, $E$13)</f>
        <v>12.076599999999999</v>
      </c>
      <c r="D820" s="60">
        <f>12.0918 * CHOOSE(CONTROL!$C$19, $C$13, 100%, $E$13)</f>
        <v>12.091799999999999</v>
      </c>
      <c r="E820" s="61">
        <f>14.422 * CHOOSE(CONTROL!$C$19, $C$13, 100%, $E$13)</f>
        <v>14.422000000000001</v>
      </c>
      <c r="F820" s="61">
        <f>14.422 * CHOOSE(CONTROL!$C$19, $C$13, 100%, $E$13)</f>
        <v>14.422000000000001</v>
      </c>
      <c r="G820" s="61">
        <f>14.4222 * CHOOSE(CONTROL!$C$19, $C$13, 100%, $E$13)</f>
        <v>14.4222</v>
      </c>
      <c r="H820" s="61">
        <f>20.1113* CHOOSE(CONTROL!$C$19, $C$13, 100%, $E$13)</f>
        <v>20.1113</v>
      </c>
      <c r="I820" s="61">
        <f>20.1115 * CHOOSE(CONTROL!$C$19, $C$13, 100%, $E$13)</f>
        <v>20.111499999999999</v>
      </c>
      <c r="J820" s="61">
        <f>14.422 * CHOOSE(CONTROL!$C$19, $C$13, 100%, $E$13)</f>
        <v>14.422000000000001</v>
      </c>
      <c r="K820" s="61">
        <f>14.4222 * CHOOSE(CONTROL!$C$19, $C$13, 100%, $E$13)</f>
        <v>14.4222</v>
      </c>
    </row>
    <row r="821" spans="1:11" ht="15">
      <c r="A821" s="13">
        <v>66842</v>
      </c>
      <c r="B821" s="60">
        <f>12.0698 * CHOOSE(CONTROL!$C$19, $C$13, 100%, $E$13)</f>
        <v>12.069800000000001</v>
      </c>
      <c r="C821" s="60">
        <f>12.0698 * CHOOSE(CONTROL!$C$19, $C$13, 100%, $E$13)</f>
        <v>12.069800000000001</v>
      </c>
      <c r="D821" s="60">
        <f>12.085 * CHOOSE(CONTROL!$C$19, $C$13, 100%, $E$13)</f>
        <v>12.085000000000001</v>
      </c>
      <c r="E821" s="61">
        <f>14.4994 * CHOOSE(CONTROL!$C$19, $C$13, 100%, $E$13)</f>
        <v>14.4994</v>
      </c>
      <c r="F821" s="61">
        <f>14.4994 * CHOOSE(CONTROL!$C$19, $C$13, 100%, $E$13)</f>
        <v>14.4994</v>
      </c>
      <c r="G821" s="61">
        <f>14.4996 * CHOOSE(CONTROL!$C$19, $C$13, 100%, $E$13)</f>
        <v>14.499599999999999</v>
      </c>
      <c r="H821" s="61">
        <f>19.9808* CHOOSE(CONTROL!$C$19, $C$13, 100%, $E$13)</f>
        <v>19.980799999999999</v>
      </c>
      <c r="I821" s="61">
        <f>19.981 * CHOOSE(CONTROL!$C$19, $C$13, 100%, $E$13)</f>
        <v>19.981000000000002</v>
      </c>
      <c r="J821" s="61">
        <f>14.4994 * CHOOSE(CONTROL!$C$19, $C$13, 100%, $E$13)</f>
        <v>14.4994</v>
      </c>
      <c r="K821" s="61">
        <f>14.4996 * CHOOSE(CONTROL!$C$19, $C$13, 100%, $E$13)</f>
        <v>14.499599999999999</v>
      </c>
    </row>
    <row r="822" spans="1:11" ht="15">
      <c r="A822" s="13">
        <v>66873</v>
      </c>
      <c r="B822" s="60">
        <f>12.0668 * CHOOSE(CONTROL!$C$19, $C$13, 100%, $E$13)</f>
        <v>12.066800000000001</v>
      </c>
      <c r="C822" s="60">
        <f>12.0668 * CHOOSE(CONTROL!$C$19, $C$13, 100%, $E$13)</f>
        <v>12.066800000000001</v>
      </c>
      <c r="D822" s="60">
        <f>12.082 * CHOOSE(CONTROL!$C$19, $C$13, 100%, $E$13)</f>
        <v>12.082000000000001</v>
      </c>
      <c r="E822" s="61">
        <f>14.2585 * CHOOSE(CONTROL!$C$19, $C$13, 100%, $E$13)</f>
        <v>14.2585</v>
      </c>
      <c r="F822" s="61">
        <f>14.2585 * CHOOSE(CONTROL!$C$19, $C$13, 100%, $E$13)</f>
        <v>14.2585</v>
      </c>
      <c r="G822" s="61">
        <f>14.2587 * CHOOSE(CONTROL!$C$19, $C$13, 100%, $E$13)</f>
        <v>14.258699999999999</v>
      </c>
      <c r="H822" s="61">
        <f>20.0225* CHOOSE(CONTROL!$C$19, $C$13, 100%, $E$13)</f>
        <v>20.022500000000001</v>
      </c>
      <c r="I822" s="61">
        <f>20.0226 * CHOOSE(CONTROL!$C$19, $C$13, 100%, $E$13)</f>
        <v>20.022600000000001</v>
      </c>
      <c r="J822" s="61">
        <f>14.2585 * CHOOSE(CONTROL!$C$19, $C$13, 100%, $E$13)</f>
        <v>14.2585</v>
      </c>
      <c r="K822" s="61">
        <f>14.2587 * CHOOSE(CONTROL!$C$19, $C$13, 100%, $E$13)</f>
        <v>14.258699999999999</v>
      </c>
    </row>
    <row r="823" spans="1:11" ht="15">
      <c r="A823" s="13">
        <v>66901</v>
      </c>
      <c r="B823" s="60">
        <f>12.0637 * CHOOSE(CONTROL!$C$19, $C$13, 100%, $E$13)</f>
        <v>12.063700000000001</v>
      </c>
      <c r="C823" s="60">
        <f>12.0637 * CHOOSE(CONTROL!$C$19, $C$13, 100%, $E$13)</f>
        <v>12.063700000000001</v>
      </c>
      <c r="D823" s="60">
        <f>12.0789 * CHOOSE(CONTROL!$C$19, $C$13, 100%, $E$13)</f>
        <v>12.078900000000001</v>
      </c>
      <c r="E823" s="61">
        <f>14.4446 * CHOOSE(CONTROL!$C$19, $C$13, 100%, $E$13)</f>
        <v>14.444599999999999</v>
      </c>
      <c r="F823" s="61">
        <f>14.4446 * CHOOSE(CONTROL!$C$19, $C$13, 100%, $E$13)</f>
        <v>14.444599999999999</v>
      </c>
      <c r="G823" s="61">
        <f>14.4448 * CHOOSE(CONTROL!$C$19, $C$13, 100%, $E$13)</f>
        <v>14.444800000000001</v>
      </c>
      <c r="H823" s="61">
        <f>20.0642* CHOOSE(CONTROL!$C$19, $C$13, 100%, $E$13)</f>
        <v>20.0642</v>
      </c>
      <c r="I823" s="61">
        <f>20.0643 * CHOOSE(CONTROL!$C$19, $C$13, 100%, $E$13)</f>
        <v>20.064299999999999</v>
      </c>
      <c r="J823" s="61">
        <f>14.4446 * CHOOSE(CONTROL!$C$19, $C$13, 100%, $E$13)</f>
        <v>14.444599999999999</v>
      </c>
      <c r="K823" s="61">
        <f>14.4448 * CHOOSE(CONTROL!$C$19, $C$13, 100%, $E$13)</f>
        <v>14.444800000000001</v>
      </c>
    </row>
    <row r="824" spans="1:11" ht="15">
      <c r="A824" s="13">
        <v>66932</v>
      </c>
      <c r="B824" s="60">
        <f>12.0693 * CHOOSE(CONTROL!$C$19, $C$13, 100%, $E$13)</f>
        <v>12.0693</v>
      </c>
      <c r="C824" s="60">
        <f>12.0693 * CHOOSE(CONTROL!$C$19, $C$13, 100%, $E$13)</f>
        <v>12.0693</v>
      </c>
      <c r="D824" s="60">
        <f>12.0845 * CHOOSE(CONTROL!$C$19, $C$13, 100%, $E$13)</f>
        <v>12.0845</v>
      </c>
      <c r="E824" s="61">
        <f>14.6425 * CHOOSE(CONTROL!$C$19, $C$13, 100%, $E$13)</f>
        <v>14.6425</v>
      </c>
      <c r="F824" s="61">
        <f>14.6425 * CHOOSE(CONTROL!$C$19, $C$13, 100%, $E$13)</f>
        <v>14.6425</v>
      </c>
      <c r="G824" s="61">
        <f>14.6427 * CHOOSE(CONTROL!$C$19, $C$13, 100%, $E$13)</f>
        <v>14.6427</v>
      </c>
      <c r="H824" s="61">
        <f>20.106* CHOOSE(CONTROL!$C$19, $C$13, 100%, $E$13)</f>
        <v>20.106000000000002</v>
      </c>
      <c r="I824" s="61">
        <f>20.1062 * CHOOSE(CONTROL!$C$19, $C$13, 100%, $E$13)</f>
        <v>20.106200000000001</v>
      </c>
      <c r="J824" s="61">
        <f>14.6425 * CHOOSE(CONTROL!$C$19, $C$13, 100%, $E$13)</f>
        <v>14.6425</v>
      </c>
      <c r="K824" s="61">
        <f>14.6427 * CHOOSE(CONTROL!$C$19, $C$13, 100%, $E$13)</f>
        <v>14.6427</v>
      </c>
    </row>
    <row r="825" spans="1:11" ht="15">
      <c r="A825" s="13">
        <v>66962</v>
      </c>
      <c r="B825" s="60">
        <f>12.0693 * CHOOSE(CONTROL!$C$19, $C$13, 100%, $E$13)</f>
        <v>12.0693</v>
      </c>
      <c r="C825" s="60">
        <f>12.0693 * CHOOSE(CONTROL!$C$19, $C$13, 100%, $E$13)</f>
        <v>12.0693</v>
      </c>
      <c r="D825" s="60">
        <f>12.0997 * CHOOSE(CONTROL!$C$19, $C$13, 100%, $E$13)</f>
        <v>12.0997</v>
      </c>
      <c r="E825" s="61">
        <f>14.7183 * CHOOSE(CONTROL!$C$19, $C$13, 100%, $E$13)</f>
        <v>14.718299999999999</v>
      </c>
      <c r="F825" s="61">
        <f>14.7183 * CHOOSE(CONTROL!$C$19, $C$13, 100%, $E$13)</f>
        <v>14.718299999999999</v>
      </c>
      <c r="G825" s="61">
        <f>14.7202 * CHOOSE(CONTROL!$C$19, $C$13, 100%, $E$13)</f>
        <v>14.7202</v>
      </c>
      <c r="H825" s="61">
        <f>20.1479* CHOOSE(CONTROL!$C$19, $C$13, 100%, $E$13)</f>
        <v>20.1479</v>
      </c>
      <c r="I825" s="61">
        <f>20.1498 * CHOOSE(CONTROL!$C$19, $C$13, 100%, $E$13)</f>
        <v>20.149799999999999</v>
      </c>
      <c r="J825" s="61">
        <f>14.7183 * CHOOSE(CONTROL!$C$19, $C$13, 100%, $E$13)</f>
        <v>14.718299999999999</v>
      </c>
      <c r="K825" s="61">
        <f>14.7202 * CHOOSE(CONTROL!$C$19, $C$13, 100%, $E$13)</f>
        <v>14.7202</v>
      </c>
    </row>
    <row r="826" spans="1:11" ht="15">
      <c r="A826" s="13">
        <v>66993</v>
      </c>
      <c r="B826" s="60">
        <f>12.0754 * CHOOSE(CONTROL!$C$19, $C$13, 100%, $E$13)</f>
        <v>12.0754</v>
      </c>
      <c r="C826" s="60">
        <f>12.0754 * CHOOSE(CONTROL!$C$19, $C$13, 100%, $E$13)</f>
        <v>12.0754</v>
      </c>
      <c r="D826" s="60">
        <f>12.1058 * CHOOSE(CONTROL!$C$19, $C$13, 100%, $E$13)</f>
        <v>12.1058</v>
      </c>
      <c r="E826" s="61">
        <f>14.6467 * CHOOSE(CONTROL!$C$19, $C$13, 100%, $E$13)</f>
        <v>14.646699999999999</v>
      </c>
      <c r="F826" s="61">
        <f>14.6467 * CHOOSE(CONTROL!$C$19, $C$13, 100%, $E$13)</f>
        <v>14.646699999999999</v>
      </c>
      <c r="G826" s="61">
        <f>14.6486 * CHOOSE(CONTROL!$C$19, $C$13, 100%, $E$13)</f>
        <v>14.6486</v>
      </c>
      <c r="H826" s="61">
        <f>20.1898* CHOOSE(CONTROL!$C$19, $C$13, 100%, $E$13)</f>
        <v>20.189800000000002</v>
      </c>
      <c r="I826" s="61">
        <f>20.1917 * CHOOSE(CONTROL!$C$19, $C$13, 100%, $E$13)</f>
        <v>20.191700000000001</v>
      </c>
      <c r="J826" s="61">
        <f>14.6467 * CHOOSE(CONTROL!$C$19, $C$13, 100%, $E$13)</f>
        <v>14.646699999999999</v>
      </c>
      <c r="K826" s="61">
        <f>14.6486 * CHOOSE(CONTROL!$C$19, $C$13, 100%, $E$13)</f>
        <v>14.6486</v>
      </c>
    </row>
    <row r="827" spans="1:11" ht="15">
      <c r="A827" s="13">
        <v>67023</v>
      </c>
      <c r="B827" s="60">
        <f>12.2436 * CHOOSE(CONTROL!$C$19, $C$13, 100%, $E$13)</f>
        <v>12.243600000000001</v>
      </c>
      <c r="C827" s="60">
        <f>12.2436 * CHOOSE(CONTROL!$C$19, $C$13, 100%, $E$13)</f>
        <v>12.243600000000001</v>
      </c>
      <c r="D827" s="60">
        <f>12.274 * CHOOSE(CONTROL!$C$19, $C$13, 100%, $E$13)</f>
        <v>12.273999999999999</v>
      </c>
      <c r="E827" s="61">
        <f>14.913 * CHOOSE(CONTROL!$C$19, $C$13, 100%, $E$13)</f>
        <v>14.913</v>
      </c>
      <c r="F827" s="61">
        <f>14.913 * CHOOSE(CONTROL!$C$19, $C$13, 100%, $E$13)</f>
        <v>14.913</v>
      </c>
      <c r="G827" s="61">
        <f>14.9149 * CHOOSE(CONTROL!$C$19, $C$13, 100%, $E$13)</f>
        <v>14.914899999999999</v>
      </c>
      <c r="H827" s="61">
        <f>20.2319* CHOOSE(CONTROL!$C$19, $C$13, 100%, $E$13)</f>
        <v>20.2319</v>
      </c>
      <c r="I827" s="61">
        <f>20.2338 * CHOOSE(CONTROL!$C$19, $C$13, 100%, $E$13)</f>
        <v>20.233799999999999</v>
      </c>
      <c r="J827" s="61">
        <f>14.913 * CHOOSE(CONTROL!$C$19, $C$13, 100%, $E$13)</f>
        <v>14.913</v>
      </c>
      <c r="K827" s="61">
        <f>14.9149 * CHOOSE(CONTROL!$C$19, $C$13, 100%, $E$13)</f>
        <v>14.914899999999999</v>
      </c>
    </row>
    <row r="828" spans="1:11" ht="15">
      <c r="A828" s="13">
        <v>67054</v>
      </c>
      <c r="B828" s="60">
        <f>12.2503 * CHOOSE(CONTROL!$C$19, $C$13, 100%, $E$13)</f>
        <v>12.250299999999999</v>
      </c>
      <c r="C828" s="60">
        <f>12.2503 * CHOOSE(CONTROL!$C$19, $C$13, 100%, $E$13)</f>
        <v>12.250299999999999</v>
      </c>
      <c r="D828" s="60">
        <f>12.2806 * CHOOSE(CONTROL!$C$19, $C$13, 100%, $E$13)</f>
        <v>12.2806</v>
      </c>
      <c r="E828" s="61">
        <f>14.6902 * CHOOSE(CONTROL!$C$19, $C$13, 100%, $E$13)</f>
        <v>14.690200000000001</v>
      </c>
      <c r="F828" s="61">
        <f>14.6902 * CHOOSE(CONTROL!$C$19, $C$13, 100%, $E$13)</f>
        <v>14.690200000000001</v>
      </c>
      <c r="G828" s="61">
        <f>14.6921 * CHOOSE(CONTROL!$C$19, $C$13, 100%, $E$13)</f>
        <v>14.6921</v>
      </c>
      <c r="H828" s="61">
        <f>20.274* CHOOSE(CONTROL!$C$19, $C$13, 100%, $E$13)</f>
        <v>20.274000000000001</v>
      </c>
      <c r="I828" s="61">
        <f>20.2759 * CHOOSE(CONTROL!$C$19, $C$13, 100%, $E$13)</f>
        <v>20.2759</v>
      </c>
      <c r="J828" s="61">
        <f>14.6902 * CHOOSE(CONTROL!$C$19, $C$13, 100%, $E$13)</f>
        <v>14.690200000000001</v>
      </c>
      <c r="K828" s="61">
        <f>14.6921 * CHOOSE(CONTROL!$C$19, $C$13, 100%, $E$13)</f>
        <v>14.6921</v>
      </c>
    </row>
    <row r="829" spans="1:11" ht="15">
      <c r="A829" s="13">
        <v>67085</v>
      </c>
      <c r="B829" s="60">
        <f>12.2472 * CHOOSE(CONTROL!$C$19, $C$13, 100%, $E$13)</f>
        <v>12.247199999999999</v>
      </c>
      <c r="C829" s="60">
        <f>12.2472 * CHOOSE(CONTROL!$C$19, $C$13, 100%, $E$13)</f>
        <v>12.247199999999999</v>
      </c>
      <c r="D829" s="60">
        <f>12.2776 * CHOOSE(CONTROL!$C$19, $C$13, 100%, $E$13)</f>
        <v>12.2776</v>
      </c>
      <c r="E829" s="61">
        <f>14.6629 * CHOOSE(CONTROL!$C$19, $C$13, 100%, $E$13)</f>
        <v>14.6629</v>
      </c>
      <c r="F829" s="61">
        <f>14.6629 * CHOOSE(CONTROL!$C$19, $C$13, 100%, $E$13)</f>
        <v>14.6629</v>
      </c>
      <c r="G829" s="61">
        <f>14.6648 * CHOOSE(CONTROL!$C$19, $C$13, 100%, $E$13)</f>
        <v>14.6648</v>
      </c>
      <c r="H829" s="61">
        <f>20.3163* CHOOSE(CONTROL!$C$19, $C$13, 100%, $E$13)</f>
        <v>20.316299999999998</v>
      </c>
      <c r="I829" s="61">
        <f>20.3182 * CHOOSE(CONTROL!$C$19, $C$13, 100%, $E$13)</f>
        <v>20.318200000000001</v>
      </c>
      <c r="J829" s="61">
        <f>14.6629 * CHOOSE(CONTROL!$C$19, $C$13, 100%, $E$13)</f>
        <v>14.6629</v>
      </c>
      <c r="K829" s="61">
        <f>14.6648 * CHOOSE(CONTROL!$C$19, $C$13, 100%, $E$13)</f>
        <v>14.6648</v>
      </c>
    </row>
    <row r="830" spans="1:11" ht="15">
      <c r="A830" s="13">
        <v>67115</v>
      </c>
      <c r="B830" s="60">
        <f>12.2736 * CHOOSE(CONTROL!$C$19, $C$13, 100%, $E$13)</f>
        <v>12.2736</v>
      </c>
      <c r="C830" s="60">
        <f>12.2736 * CHOOSE(CONTROL!$C$19, $C$13, 100%, $E$13)</f>
        <v>12.2736</v>
      </c>
      <c r="D830" s="60">
        <f>12.2888 * CHOOSE(CONTROL!$C$19, $C$13, 100%, $E$13)</f>
        <v>12.2888</v>
      </c>
      <c r="E830" s="61">
        <f>14.7505 * CHOOSE(CONTROL!$C$19, $C$13, 100%, $E$13)</f>
        <v>14.750500000000001</v>
      </c>
      <c r="F830" s="61">
        <f>14.7505 * CHOOSE(CONTROL!$C$19, $C$13, 100%, $E$13)</f>
        <v>14.750500000000001</v>
      </c>
      <c r="G830" s="61">
        <f>14.7507 * CHOOSE(CONTROL!$C$19, $C$13, 100%, $E$13)</f>
        <v>14.7507</v>
      </c>
      <c r="H830" s="61">
        <f>20.3586* CHOOSE(CONTROL!$C$19, $C$13, 100%, $E$13)</f>
        <v>20.358599999999999</v>
      </c>
      <c r="I830" s="61">
        <f>20.3588 * CHOOSE(CONTROL!$C$19, $C$13, 100%, $E$13)</f>
        <v>20.358799999999999</v>
      </c>
      <c r="J830" s="61">
        <f>14.7505 * CHOOSE(CONTROL!$C$19, $C$13, 100%, $E$13)</f>
        <v>14.750500000000001</v>
      </c>
      <c r="K830" s="61">
        <f>14.7507 * CHOOSE(CONTROL!$C$19, $C$13, 100%, $E$13)</f>
        <v>14.7507</v>
      </c>
    </row>
    <row r="831" spans="1:11" ht="15">
      <c r="A831" s="13">
        <v>67146</v>
      </c>
      <c r="B831" s="60">
        <f>12.2767 * CHOOSE(CONTROL!$C$19, $C$13, 100%, $E$13)</f>
        <v>12.2767</v>
      </c>
      <c r="C831" s="60">
        <f>12.2767 * CHOOSE(CONTROL!$C$19, $C$13, 100%, $E$13)</f>
        <v>12.2767</v>
      </c>
      <c r="D831" s="60">
        <f>12.2918 * CHOOSE(CONTROL!$C$19, $C$13, 100%, $E$13)</f>
        <v>12.2918</v>
      </c>
      <c r="E831" s="61">
        <f>14.8032 * CHOOSE(CONTROL!$C$19, $C$13, 100%, $E$13)</f>
        <v>14.8032</v>
      </c>
      <c r="F831" s="61">
        <f>14.8032 * CHOOSE(CONTROL!$C$19, $C$13, 100%, $E$13)</f>
        <v>14.8032</v>
      </c>
      <c r="G831" s="61">
        <f>14.8033 * CHOOSE(CONTROL!$C$19, $C$13, 100%, $E$13)</f>
        <v>14.8033</v>
      </c>
      <c r="H831" s="61">
        <f>20.401* CHOOSE(CONTROL!$C$19, $C$13, 100%, $E$13)</f>
        <v>20.401</v>
      </c>
      <c r="I831" s="61">
        <f>20.4012 * CHOOSE(CONTROL!$C$19, $C$13, 100%, $E$13)</f>
        <v>20.401199999999999</v>
      </c>
      <c r="J831" s="61">
        <f>14.8032 * CHOOSE(CONTROL!$C$19, $C$13, 100%, $E$13)</f>
        <v>14.8032</v>
      </c>
      <c r="K831" s="61">
        <f>14.8033 * CHOOSE(CONTROL!$C$19, $C$13, 100%, $E$13)</f>
        <v>14.8033</v>
      </c>
    </row>
    <row r="832" spans="1:11" ht="15">
      <c r="A832" s="13">
        <v>67176</v>
      </c>
      <c r="B832" s="60">
        <f>12.2767 * CHOOSE(CONTROL!$C$19, $C$13, 100%, $E$13)</f>
        <v>12.2767</v>
      </c>
      <c r="C832" s="60">
        <f>12.2767 * CHOOSE(CONTROL!$C$19, $C$13, 100%, $E$13)</f>
        <v>12.2767</v>
      </c>
      <c r="D832" s="60">
        <f>12.2918 * CHOOSE(CONTROL!$C$19, $C$13, 100%, $E$13)</f>
        <v>12.2918</v>
      </c>
      <c r="E832" s="61">
        <f>14.6768 * CHOOSE(CONTROL!$C$19, $C$13, 100%, $E$13)</f>
        <v>14.6768</v>
      </c>
      <c r="F832" s="61">
        <f>14.6768 * CHOOSE(CONTROL!$C$19, $C$13, 100%, $E$13)</f>
        <v>14.6768</v>
      </c>
      <c r="G832" s="61">
        <f>14.677 * CHOOSE(CONTROL!$C$19, $C$13, 100%, $E$13)</f>
        <v>14.677</v>
      </c>
      <c r="H832" s="61">
        <f>20.4435* CHOOSE(CONTROL!$C$19, $C$13, 100%, $E$13)</f>
        <v>20.4435</v>
      </c>
      <c r="I832" s="61">
        <f>20.4437 * CHOOSE(CONTROL!$C$19, $C$13, 100%, $E$13)</f>
        <v>20.4437</v>
      </c>
      <c r="J832" s="61">
        <f>14.6768 * CHOOSE(CONTROL!$C$19, $C$13, 100%, $E$13)</f>
        <v>14.6768</v>
      </c>
      <c r="K832" s="61">
        <f>14.677 * CHOOSE(CONTROL!$C$19, $C$13, 100%, $E$13)</f>
        <v>14.677</v>
      </c>
    </row>
    <row r="833" spans="1:11" ht="15">
      <c r="A833" s="13">
        <v>67207</v>
      </c>
      <c r="B833" s="60">
        <f>12.2664 * CHOOSE(CONTROL!$C$19, $C$13, 100%, $E$13)</f>
        <v>12.266400000000001</v>
      </c>
      <c r="C833" s="60">
        <f>12.2664 * CHOOSE(CONTROL!$C$19, $C$13, 100%, $E$13)</f>
        <v>12.266400000000001</v>
      </c>
      <c r="D833" s="60">
        <f>12.2816 * CHOOSE(CONTROL!$C$19, $C$13, 100%, $E$13)</f>
        <v>12.281599999999999</v>
      </c>
      <c r="E833" s="61">
        <f>14.7512 * CHOOSE(CONTROL!$C$19, $C$13, 100%, $E$13)</f>
        <v>14.751200000000001</v>
      </c>
      <c r="F833" s="61">
        <f>14.7512 * CHOOSE(CONTROL!$C$19, $C$13, 100%, $E$13)</f>
        <v>14.751200000000001</v>
      </c>
      <c r="G833" s="61">
        <f>14.7514 * CHOOSE(CONTROL!$C$19, $C$13, 100%, $E$13)</f>
        <v>14.7514</v>
      </c>
      <c r="H833" s="61">
        <f>20.3055* CHOOSE(CONTROL!$C$19, $C$13, 100%, $E$13)</f>
        <v>20.305499999999999</v>
      </c>
      <c r="I833" s="61">
        <f>20.3057 * CHOOSE(CONTROL!$C$19, $C$13, 100%, $E$13)</f>
        <v>20.305700000000002</v>
      </c>
      <c r="J833" s="61">
        <f>14.7512 * CHOOSE(CONTROL!$C$19, $C$13, 100%, $E$13)</f>
        <v>14.751200000000001</v>
      </c>
      <c r="K833" s="61">
        <f>14.7514 * CHOOSE(CONTROL!$C$19, $C$13, 100%, $E$13)</f>
        <v>14.7514</v>
      </c>
    </row>
    <row r="834" spans="1:11" ht="15">
      <c r="A834" s="13">
        <v>67238</v>
      </c>
      <c r="B834" s="60">
        <f>12.2634 * CHOOSE(CONTROL!$C$19, $C$13, 100%, $E$13)</f>
        <v>12.263400000000001</v>
      </c>
      <c r="C834" s="60">
        <f>12.2634 * CHOOSE(CONTROL!$C$19, $C$13, 100%, $E$13)</f>
        <v>12.263400000000001</v>
      </c>
      <c r="D834" s="60">
        <f>12.2786 * CHOOSE(CONTROL!$C$19, $C$13, 100%, $E$13)</f>
        <v>12.278600000000001</v>
      </c>
      <c r="E834" s="61">
        <f>14.5059 * CHOOSE(CONTROL!$C$19, $C$13, 100%, $E$13)</f>
        <v>14.5059</v>
      </c>
      <c r="F834" s="61">
        <f>14.5059 * CHOOSE(CONTROL!$C$19, $C$13, 100%, $E$13)</f>
        <v>14.5059</v>
      </c>
      <c r="G834" s="61">
        <f>14.5061 * CHOOSE(CONTROL!$C$19, $C$13, 100%, $E$13)</f>
        <v>14.5061</v>
      </c>
      <c r="H834" s="61">
        <f>20.3478* CHOOSE(CONTROL!$C$19, $C$13, 100%, $E$13)</f>
        <v>20.347799999999999</v>
      </c>
      <c r="I834" s="61">
        <f>20.348 * CHOOSE(CONTROL!$C$19, $C$13, 100%, $E$13)</f>
        <v>20.347999999999999</v>
      </c>
      <c r="J834" s="61">
        <f>14.5059 * CHOOSE(CONTROL!$C$19, $C$13, 100%, $E$13)</f>
        <v>14.5059</v>
      </c>
      <c r="K834" s="61">
        <f>14.5061 * CHOOSE(CONTROL!$C$19, $C$13, 100%, $E$13)</f>
        <v>14.5061</v>
      </c>
    </row>
    <row r="835" spans="1:11" ht="15">
      <c r="A835" s="13">
        <v>67267</v>
      </c>
      <c r="B835" s="60">
        <f>12.2604 * CHOOSE(CONTROL!$C$19, $C$13, 100%, $E$13)</f>
        <v>12.260400000000001</v>
      </c>
      <c r="C835" s="60">
        <f>12.2604 * CHOOSE(CONTROL!$C$19, $C$13, 100%, $E$13)</f>
        <v>12.260400000000001</v>
      </c>
      <c r="D835" s="60">
        <f>12.2755 * CHOOSE(CONTROL!$C$19, $C$13, 100%, $E$13)</f>
        <v>12.275499999999999</v>
      </c>
      <c r="E835" s="61">
        <f>14.6955 * CHOOSE(CONTROL!$C$19, $C$13, 100%, $E$13)</f>
        <v>14.695499999999999</v>
      </c>
      <c r="F835" s="61">
        <f>14.6955 * CHOOSE(CONTROL!$C$19, $C$13, 100%, $E$13)</f>
        <v>14.695499999999999</v>
      </c>
      <c r="G835" s="61">
        <f>14.6957 * CHOOSE(CONTROL!$C$19, $C$13, 100%, $E$13)</f>
        <v>14.6957</v>
      </c>
      <c r="H835" s="61">
        <f>20.3902* CHOOSE(CONTROL!$C$19, $C$13, 100%, $E$13)</f>
        <v>20.3902</v>
      </c>
      <c r="I835" s="61">
        <f>20.3904 * CHOOSE(CONTROL!$C$19, $C$13, 100%, $E$13)</f>
        <v>20.3904</v>
      </c>
      <c r="J835" s="61">
        <f>14.6955 * CHOOSE(CONTROL!$C$19, $C$13, 100%, $E$13)</f>
        <v>14.695499999999999</v>
      </c>
      <c r="K835" s="61">
        <f>14.6957 * CHOOSE(CONTROL!$C$19, $C$13, 100%, $E$13)</f>
        <v>14.6957</v>
      </c>
    </row>
    <row r="836" spans="1:11" ht="15">
      <c r="A836" s="13">
        <v>67298</v>
      </c>
      <c r="B836" s="60">
        <f>12.2662 * CHOOSE(CONTROL!$C$19, $C$13, 100%, $E$13)</f>
        <v>12.2662</v>
      </c>
      <c r="C836" s="60">
        <f>12.2662 * CHOOSE(CONTROL!$C$19, $C$13, 100%, $E$13)</f>
        <v>12.2662</v>
      </c>
      <c r="D836" s="60">
        <f>12.2813 * CHOOSE(CONTROL!$C$19, $C$13, 100%, $E$13)</f>
        <v>12.2813</v>
      </c>
      <c r="E836" s="61">
        <f>14.8972 * CHOOSE(CONTROL!$C$19, $C$13, 100%, $E$13)</f>
        <v>14.8972</v>
      </c>
      <c r="F836" s="61">
        <f>14.8972 * CHOOSE(CONTROL!$C$19, $C$13, 100%, $E$13)</f>
        <v>14.8972</v>
      </c>
      <c r="G836" s="61">
        <f>14.8974 * CHOOSE(CONTROL!$C$19, $C$13, 100%, $E$13)</f>
        <v>14.897399999999999</v>
      </c>
      <c r="H836" s="61">
        <f>20.4327* CHOOSE(CONTROL!$C$19, $C$13, 100%, $E$13)</f>
        <v>20.432700000000001</v>
      </c>
      <c r="I836" s="61">
        <f>20.4328 * CHOOSE(CONTROL!$C$19, $C$13, 100%, $E$13)</f>
        <v>20.4328</v>
      </c>
      <c r="J836" s="61">
        <f>14.8972 * CHOOSE(CONTROL!$C$19, $C$13, 100%, $E$13)</f>
        <v>14.8972</v>
      </c>
      <c r="K836" s="61">
        <f>14.8974 * CHOOSE(CONTROL!$C$19, $C$13, 100%, $E$13)</f>
        <v>14.897399999999999</v>
      </c>
    </row>
    <row r="837" spans="1:11" ht="15">
      <c r="A837" s="13">
        <v>67328</v>
      </c>
      <c r="B837" s="60">
        <f>12.2662 * CHOOSE(CONTROL!$C$19, $C$13, 100%, $E$13)</f>
        <v>12.2662</v>
      </c>
      <c r="C837" s="60">
        <f>12.2662 * CHOOSE(CONTROL!$C$19, $C$13, 100%, $E$13)</f>
        <v>12.2662</v>
      </c>
      <c r="D837" s="60">
        <f>12.2965 * CHOOSE(CONTROL!$C$19, $C$13, 100%, $E$13)</f>
        <v>12.2965</v>
      </c>
      <c r="E837" s="61">
        <f>14.9744 * CHOOSE(CONTROL!$C$19, $C$13, 100%, $E$13)</f>
        <v>14.974399999999999</v>
      </c>
      <c r="F837" s="61">
        <f>14.9744 * CHOOSE(CONTROL!$C$19, $C$13, 100%, $E$13)</f>
        <v>14.974399999999999</v>
      </c>
      <c r="G837" s="61">
        <f>14.9763 * CHOOSE(CONTROL!$C$19, $C$13, 100%, $E$13)</f>
        <v>14.9763</v>
      </c>
      <c r="H837" s="61">
        <f>20.4752* CHOOSE(CONTROL!$C$19, $C$13, 100%, $E$13)</f>
        <v>20.475200000000001</v>
      </c>
      <c r="I837" s="61">
        <f>20.4771 * CHOOSE(CONTROL!$C$19, $C$13, 100%, $E$13)</f>
        <v>20.4771</v>
      </c>
      <c r="J837" s="61">
        <f>14.9744 * CHOOSE(CONTROL!$C$19, $C$13, 100%, $E$13)</f>
        <v>14.974399999999999</v>
      </c>
      <c r="K837" s="61">
        <f>14.9763 * CHOOSE(CONTROL!$C$19, $C$13, 100%, $E$13)</f>
        <v>14.9763</v>
      </c>
    </row>
    <row r="838" spans="1:11" ht="15">
      <c r="A838" s="13">
        <v>67359</v>
      </c>
      <c r="B838" s="60">
        <f>12.2722 * CHOOSE(CONTROL!$C$19, $C$13, 100%, $E$13)</f>
        <v>12.2722</v>
      </c>
      <c r="C838" s="60">
        <f>12.2722 * CHOOSE(CONTROL!$C$19, $C$13, 100%, $E$13)</f>
        <v>12.2722</v>
      </c>
      <c r="D838" s="60">
        <f>12.3026 * CHOOSE(CONTROL!$C$19, $C$13, 100%, $E$13)</f>
        <v>12.3026</v>
      </c>
      <c r="E838" s="61">
        <f>14.9014 * CHOOSE(CONTROL!$C$19, $C$13, 100%, $E$13)</f>
        <v>14.901400000000001</v>
      </c>
      <c r="F838" s="61">
        <f>14.9014 * CHOOSE(CONTROL!$C$19, $C$13, 100%, $E$13)</f>
        <v>14.901400000000001</v>
      </c>
      <c r="G838" s="61">
        <f>14.9033 * CHOOSE(CONTROL!$C$19, $C$13, 100%, $E$13)</f>
        <v>14.9033</v>
      </c>
      <c r="H838" s="61">
        <f>20.5179* CHOOSE(CONTROL!$C$19, $C$13, 100%, $E$13)</f>
        <v>20.517900000000001</v>
      </c>
      <c r="I838" s="61">
        <f>20.5198 * CHOOSE(CONTROL!$C$19, $C$13, 100%, $E$13)</f>
        <v>20.5198</v>
      </c>
      <c r="J838" s="61">
        <f>14.9014 * CHOOSE(CONTROL!$C$19, $C$13, 100%, $E$13)</f>
        <v>14.901400000000001</v>
      </c>
      <c r="K838" s="61">
        <f>14.9033 * CHOOSE(CONTROL!$C$19, $C$13, 100%, $E$13)</f>
        <v>14.9033</v>
      </c>
    </row>
    <row r="839" spans="1:11" ht="15">
      <c r="A839" s="13">
        <v>67389</v>
      </c>
      <c r="B839" s="60">
        <f>12.4429 * CHOOSE(CONTROL!$C$19, $C$13, 100%, $E$13)</f>
        <v>12.4429</v>
      </c>
      <c r="C839" s="60">
        <f>12.4429 * CHOOSE(CONTROL!$C$19, $C$13, 100%, $E$13)</f>
        <v>12.4429</v>
      </c>
      <c r="D839" s="60">
        <f>12.4733 * CHOOSE(CONTROL!$C$19, $C$13, 100%, $E$13)</f>
        <v>12.4733</v>
      </c>
      <c r="E839" s="61">
        <f>15.1721 * CHOOSE(CONTROL!$C$19, $C$13, 100%, $E$13)</f>
        <v>15.1721</v>
      </c>
      <c r="F839" s="61">
        <f>15.1721 * CHOOSE(CONTROL!$C$19, $C$13, 100%, $E$13)</f>
        <v>15.1721</v>
      </c>
      <c r="G839" s="61">
        <f>15.174 * CHOOSE(CONTROL!$C$19, $C$13, 100%, $E$13)</f>
        <v>15.173999999999999</v>
      </c>
      <c r="H839" s="61">
        <f>20.5606* CHOOSE(CONTROL!$C$19, $C$13, 100%, $E$13)</f>
        <v>20.560600000000001</v>
      </c>
      <c r="I839" s="61">
        <f>20.5625 * CHOOSE(CONTROL!$C$19, $C$13, 100%, $E$13)</f>
        <v>20.5625</v>
      </c>
      <c r="J839" s="61">
        <f>15.1721 * CHOOSE(CONTROL!$C$19, $C$13, 100%, $E$13)</f>
        <v>15.1721</v>
      </c>
      <c r="K839" s="61">
        <f>15.174 * CHOOSE(CONTROL!$C$19, $C$13, 100%, $E$13)</f>
        <v>15.173999999999999</v>
      </c>
    </row>
    <row r="840" spans="1:11" ht="15">
      <c r="A840" s="13">
        <v>67420</v>
      </c>
      <c r="B840" s="60">
        <f>12.4496 * CHOOSE(CONTROL!$C$19, $C$13, 100%, $E$13)</f>
        <v>12.4496</v>
      </c>
      <c r="C840" s="60">
        <f>12.4496 * CHOOSE(CONTROL!$C$19, $C$13, 100%, $E$13)</f>
        <v>12.4496</v>
      </c>
      <c r="D840" s="60">
        <f>12.48 * CHOOSE(CONTROL!$C$19, $C$13, 100%, $E$13)</f>
        <v>12.48</v>
      </c>
      <c r="E840" s="61">
        <f>14.9451 * CHOOSE(CONTROL!$C$19, $C$13, 100%, $E$13)</f>
        <v>14.9451</v>
      </c>
      <c r="F840" s="61">
        <f>14.9451 * CHOOSE(CONTROL!$C$19, $C$13, 100%, $E$13)</f>
        <v>14.9451</v>
      </c>
      <c r="G840" s="61">
        <f>14.947 * CHOOSE(CONTROL!$C$19, $C$13, 100%, $E$13)</f>
        <v>14.946999999999999</v>
      </c>
      <c r="H840" s="61">
        <f>20.6035* CHOOSE(CONTROL!$C$19, $C$13, 100%, $E$13)</f>
        <v>20.6035</v>
      </c>
      <c r="I840" s="61">
        <f>20.6054 * CHOOSE(CONTROL!$C$19, $C$13, 100%, $E$13)</f>
        <v>20.605399999999999</v>
      </c>
      <c r="J840" s="61">
        <f>14.9451 * CHOOSE(CONTROL!$C$19, $C$13, 100%, $E$13)</f>
        <v>14.9451</v>
      </c>
      <c r="K840" s="61">
        <f>14.947 * CHOOSE(CONTROL!$C$19, $C$13, 100%, $E$13)</f>
        <v>14.946999999999999</v>
      </c>
    </row>
    <row r="841" spans="1:11" ht="15">
      <c r="A841" s="13">
        <v>67451</v>
      </c>
      <c r="B841" s="60">
        <f>12.4465 * CHOOSE(CONTROL!$C$19, $C$13, 100%, $E$13)</f>
        <v>12.4465</v>
      </c>
      <c r="C841" s="60">
        <f>12.4465 * CHOOSE(CONTROL!$C$19, $C$13, 100%, $E$13)</f>
        <v>12.4465</v>
      </c>
      <c r="D841" s="60">
        <f>12.4769 * CHOOSE(CONTROL!$C$19, $C$13, 100%, $E$13)</f>
        <v>12.476900000000001</v>
      </c>
      <c r="E841" s="61">
        <f>14.9172 * CHOOSE(CONTROL!$C$19, $C$13, 100%, $E$13)</f>
        <v>14.917199999999999</v>
      </c>
      <c r="F841" s="61">
        <f>14.9172 * CHOOSE(CONTROL!$C$19, $C$13, 100%, $E$13)</f>
        <v>14.917199999999999</v>
      </c>
      <c r="G841" s="61">
        <f>14.9191 * CHOOSE(CONTROL!$C$19, $C$13, 100%, $E$13)</f>
        <v>14.9191</v>
      </c>
      <c r="H841" s="61">
        <f>20.6464* CHOOSE(CONTROL!$C$19, $C$13, 100%, $E$13)</f>
        <v>20.6464</v>
      </c>
      <c r="I841" s="61">
        <f>20.6483 * CHOOSE(CONTROL!$C$19, $C$13, 100%, $E$13)</f>
        <v>20.648299999999999</v>
      </c>
      <c r="J841" s="61">
        <f>14.9172 * CHOOSE(CONTROL!$C$19, $C$13, 100%, $E$13)</f>
        <v>14.917199999999999</v>
      </c>
      <c r="K841" s="61">
        <f>14.9191 * CHOOSE(CONTROL!$C$19, $C$13, 100%, $E$13)</f>
        <v>14.9191</v>
      </c>
    </row>
    <row r="842" spans="1:11" ht="15">
      <c r="A842" s="13">
        <v>67481</v>
      </c>
      <c r="B842" s="60">
        <f>12.4737 * CHOOSE(CONTROL!$C$19, $C$13, 100%, $E$13)</f>
        <v>12.473699999999999</v>
      </c>
      <c r="C842" s="60">
        <f>12.4737 * CHOOSE(CONTROL!$C$19, $C$13, 100%, $E$13)</f>
        <v>12.473699999999999</v>
      </c>
      <c r="D842" s="60">
        <f>12.4889 * CHOOSE(CONTROL!$C$19, $C$13, 100%, $E$13)</f>
        <v>12.488899999999999</v>
      </c>
      <c r="E842" s="61">
        <f>15.0068 * CHOOSE(CONTROL!$C$19, $C$13, 100%, $E$13)</f>
        <v>15.0068</v>
      </c>
      <c r="F842" s="61">
        <f>15.0068 * CHOOSE(CONTROL!$C$19, $C$13, 100%, $E$13)</f>
        <v>15.0068</v>
      </c>
      <c r="G842" s="61">
        <f>15.0069 * CHOOSE(CONTROL!$C$19, $C$13, 100%, $E$13)</f>
        <v>15.0069</v>
      </c>
      <c r="H842" s="61">
        <f>20.6894* CHOOSE(CONTROL!$C$19, $C$13, 100%, $E$13)</f>
        <v>20.689399999999999</v>
      </c>
      <c r="I842" s="61">
        <f>20.6896 * CHOOSE(CONTROL!$C$19, $C$13, 100%, $E$13)</f>
        <v>20.689599999999999</v>
      </c>
      <c r="J842" s="61">
        <f>15.0068 * CHOOSE(CONTROL!$C$19, $C$13, 100%, $E$13)</f>
        <v>15.0068</v>
      </c>
      <c r="K842" s="61">
        <f>15.0069 * CHOOSE(CONTROL!$C$19, $C$13, 100%, $E$13)</f>
        <v>15.0069</v>
      </c>
    </row>
    <row r="843" spans="1:11" ht="15">
      <c r="A843" s="13">
        <v>67512</v>
      </c>
      <c r="B843" s="60">
        <f>12.4767 * CHOOSE(CONTROL!$C$19, $C$13, 100%, $E$13)</f>
        <v>12.476699999999999</v>
      </c>
      <c r="C843" s="60">
        <f>12.4767 * CHOOSE(CONTROL!$C$19, $C$13, 100%, $E$13)</f>
        <v>12.476699999999999</v>
      </c>
      <c r="D843" s="60">
        <f>12.4919 * CHOOSE(CONTROL!$C$19, $C$13, 100%, $E$13)</f>
        <v>12.491899999999999</v>
      </c>
      <c r="E843" s="61">
        <f>15.0604 * CHOOSE(CONTROL!$C$19, $C$13, 100%, $E$13)</f>
        <v>15.0604</v>
      </c>
      <c r="F843" s="61">
        <f>15.0604 * CHOOSE(CONTROL!$C$19, $C$13, 100%, $E$13)</f>
        <v>15.0604</v>
      </c>
      <c r="G843" s="61">
        <f>15.0605 * CHOOSE(CONTROL!$C$19, $C$13, 100%, $E$13)</f>
        <v>15.060499999999999</v>
      </c>
      <c r="H843" s="61">
        <f>20.7325* CHOOSE(CONTROL!$C$19, $C$13, 100%, $E$13)</f>
        <v>20.732500000000002</v>
      </c>
      <c r="I843" s="61">
        <f>20.7327 * CHOOSE(CONTROL!$C$19, $C$13, 100%, $E$13)</f>
        <v>20.732700000000001</v>
      </c>
      <c r="J843" s="61">
        <f>15.0604 * CHOOSE(CONTROL!$C$19, $C$13, 100%, $E$13)</f>
        <v>15.0604</v>
      </c>
      <c r="K843" s="61">
        <f>15.0605 * CHOOSE(CONTROL!$C$19, $C$13, 100%, $E$13)</f>
        <v>15.060499999999999</v>
      </c>
    </row>
    <row r="844" spans="1:11" ht="15">
      <c r="A844" s="13">
        <v>67542</v>
      </c>
      <c r="B844" s="60">
        <f>12.4767 * CHOOSE(CONTROL!$C$19, $C$13, 100%, $E$13)</f>
        <v>12.476699999999999</v>
      </c>
      <c r="C844" s="60">
        <f>12.4767 * CHOOSE(CONTROL!$C$19, $C$13, 100%, $E$13)</f>
        <v>12.476699999999999</v>
      </c>
      <c r="D844" s="60">
        <f>12.4919 * CHOOSE(CONTROL!$C$19, $C$13, 100%, $E$13)</f>
        <v>12.491899999999999</v>
      </c>
      <c r="E844" s="61">
        <f>14.9317 * CHOOSE(CONTROL!$C$19, $C$13, 100%, $E$13)</f>
        <v>14.931699999999999</v>
      </c>
      <c r="F844" s="61">
        <f>14.9317 * CHOOSE(CONTROL!$C$19, $C$13, 100%, $E$13)</f>
        <v>14.931699999999999</v>
      </c>
      <c r="G844" s="61">
        <f>14.9318 * CHOOSE(CONTROL!$C$19, $C$13, 100%, $E$13)</f>
        <v>14.931800000000001</v>
      </c>
      <c r="H844" s="61">
        <f>20.7757* CHOOSE(CONTROL!$C$19, $C$13, 100%, $E$13)</f>
        <v>20.775700000000001</v>
      </c>
      <c r="I844" s="61">
        <f>20.7759 * CHOOSE(CONTROL!$C$19, $C$13, 100%, $E$13)</f>
        <v>20.7759</v>
      </c>
      <c r="J844" s="61">
        <f>14.9317 * CHOOSE(CONTROL!$C$19, $C$13, 100%, $E$13)</f>
        <v>14.931699999999999</v>
      </c>
      <c r="K844" s="61">
        <f>14.9318 * CHOOSE(CONTROL!$C$19, $C$13, 100%, $E$13)</f>
        <v>14.931800000000001</v>
      </c>
    </row>
    <row r="845" spans="1:11" ht="15">
      <c r="A845" s="13">
        <v>67573</v>
      </c>
      <c r="B845" s="60">
        <f>12.4631 * CHOOSE(CONTROL!$C$19, $C$13, 100%, $E$13)</f>
        <v>12.463100000000001</v>
      </c>
      <c r="C845" s="60">
        <f>12.4631 * CHOOSE(CONTROL!$C$19, $C$13, 100%, $E$13)</f>
        <v>12.463100000000001</v>
      </c>
      <c r="D845" s="60">
        <f>12.4782 * CHOOSE(CONTROL!$C$19, $C$13, 100%, $E$13)</f>
        <v>12.478199999999999</v>
      </c>
      <c r="E845" s="61">
        <f>15.0031 * CHOOSE(CONTROL!$C$19, $C$13, 100%, $E$13)</f>
        <v>15.0031</v>
      </c>
      <c r="F845" s="61">
        <f>15.0031 * CHOOSE(CONTROL!$C$19, $C$13, 100%, $E$13)</f>
        <v>15.0031</v>
      </c>
      <c r="G845" s="61">
        <f>15.0032 * CHOOSE(CONTROL!$C$19, $C$13, 100%, $E$13)</f>
        <v>15.0032</v>
      </c>
      <c r="H845" s="61">
        <f>20.6302* CHOOSE(CONTROL!$C$19, $C$13, 100%, $E$13)</f>
        <v>20.630199999999999</v>
      </c>
      <c r="I845" s="61">
        <f>20.6303 * CHOOSE(CONTROL!$C$19, $C$13, 100%, $E$13)</f>
        <v>20.630299999999998</v>
      </c>
      <c r="J845" s="61">
        <f>15.0031 * CHOOSE(CONTROL!$C$19, $C$13, 100%, $E$13)</f>
        <v>15.0031</v>
      </c>
      <c r="K845" s="61">
        <f>15.0032 * CHOOSE(CONTROL!$C$19, $C$13, 100%, $E$13)</f>
        <v>15.0032</v>
      </c>
    </row>
    <row r="846" spans="1:11" ht="15">
      <c r="A846" s="13">
        <v>67604</v>
      </c>
      <c r="B846" s="60">
        <f>12.46 * CHOOSE(CONTROL!$C$19, $C$13, 100%, $E$13)</f>
        <v>12.46</v>
      </c>
      <c r="C846" s="60">
        <f>12.46 * CHOOSE(CONTROL!$C$19, $C$13, 100%, $E$13)</f>
        <v>12.46</v>
      </c>
      <c r="D846" s="60">
        <f>12.4752 * CHOOSE(CONTROL!$C$19, $C$13, 100%, $E$13)</f>
        <v>12.475199999999999</v>
      </c>
      <c r="E846" s="61">
        <f>14.7533 * CHOOSE(CONTROL!$C$19, $C$13, 100%, $E$13)</f>
        <v>14.753299999999999</v>
      </c>
      <c r="F846" s="61">
        <f>14.7533 * CHOOSE(CONTROL!$C$19, $C$13, 100%, $E$13)</f>
        <v>14.753299999999999</v>
      </c>
      <c r="G846" s="61">
        <f>14.7534 * CHOOSE(CONTROL!$C$19, $C$13, 100%, $E$13)</f>
        <v>14.753399999999999</v>
      </c>
      <c r="H846" s="61">
        <f>20.6731* CHOOSE(CONTROL!$C$19, $C$13, 100%, $E$13)</f>
        <v>20.673100000000002</v>
      </c>
      <c r="I846" s="61">
        <f>20.6733 * CHOOSE(CONTROL!$C$19, $C$13, 100%, $E$13)</f>
        <v>20.673300000000001</v>
      </c>
      <c r="J846" s="61">
        <f>14.7533 * CHOOSE(CONTROL!$C$19, $C$13, 100%, $E$13)</f>
        <v>14.753299999999999</v>
      </c>
      <c r="K846" s="61">
        <f>14.7534 * CHOOSE(CONTROL!$C$19, $C$13, 100%, $E$13)</f>
        <v>14.753399999999999</v>
      </c>
    </row>
    <row r="847" spans="1:11" ht="15">
      <c r="A847" s="13">
        <v>67632</v>
      </c>
      <c r="B847" s="60">
        <f>12.457 * CHOOSE(CONTROL!$C$19, $C$13, 100%, $E$13)</f>
        <v>12.457000000000001</v>
      </c>
      <c r="C847" s="60">
        <f>12.457 * CHOOSE(CONTROL!$C$19, $C$13, 100%, $E$13)</f>
        <v>12.457000000000001</v>
      </c>
      <c r="D847" s="60">
        <f>12.4722 * CHOOSE(CONTROL!$C$19, $C$13, 100%, $E$13)</f>
        <v>12.472200000000001</v>
      </c>
      <c r="E847" s="61">
        <f>14.9464 * CHOOSE(CONTROL!$C$19, $C$13, 100%, $E$13)</f>
        <v>14.946400000000001</v>
      </c>
      <c r="F847" s="61">
        <f>14.9464 * CHOOSE(CONTROL!$C$19, $C$13, 100%, $E$13)</f>
        <v>14.946400000000001</v>
      </c>
      <c r="G847" s="61">
        <f>14.9466 * CHOOSE(CONTROL!$C$19, $C$13, 100%, $E$13)</f>
        <v>14.9466</v>
      </c>
      <c r="H847" s="61">
        <f>20.7162* CHOOSE(CONTROL!$C$19, $C$13, 100%, $E$13)</f>
        <v>20.716200000000001</v>
      </c>
      <c r="I847" s="61">
        <f>20.7164 * CHOOSE(CONTROL!$C$19, $C$13, 100%, $E$13)</f>
        <v>20.7164</v>
      </c>
      <c r="J847" s="61">
        <f>14.9464 * CHOOSE(CONTROL!$C$19, $C$13, 100%, $E$13)</f>
        <v>14.946400000000001</v>
      </c>
      <c r="K847" s="61">
        <f>14.9466 * CHOOSE(CONTROL!$C$19, $C$13, 100%, $E$13)</f>
        <v>14.9466</v>
      </c>
    </row>
    <row r="848" spans="1:11" ht="15">
      <c r="A848" s="13">
        <v>67663</v>
      </c>
      <c r="B848" s="60">
        <f>12.463 * CHOOSE(CONTROL!$C$19, $C$13, 100%, $E$13)</f>
        <v>12.462999999999999</v>
      </c>
      <c r="C848" s="60">
        <f>12.463 * CHOOSE(CONTROL!$C$19, $C$13, 100%, $E$13)</f>
        <v>12.462999999999999</v>
      </c>
      <c r="D848" s="60">
        <f>12.4782 * CHOOSE(CONTROL!$C$19, $C$13, 100%, $E$13)</f>
        <v>12.478199999999999</v>
      </c>
      <c r="E848" s="61">
        <f>15.1519 * CHOOSE(CONTROL!$C$19, $C$13, 100%, $E$13)</f>
        <v>15.151899999999999</v>
      </c>
      <c r="F848" s="61">
        <f>15.1519 * CHOOSE(CONTROL!$C$19, $C$13, 100%, $E$13)</f>
        <v>15.151899999999999</v>
      </c>
      <c r="G848" s="61">
        <f>15.152 * CHOOSE(CONTROL!$C$19, $C$13, 100%, $E$13)</f>
        <v>15.151999999999999</v>
      </c>
      <c r="H848" s="61">
        <f>20.7594* CHOOSE(CONTROL!$C$19, $C$13, 100%, $E$13)</f>
        <v>20.759399999999999</v>
      </c>
      <c r="I848" s="61">
        <f>20.7595 * CHOOSE(CONTROL!$C$19, $C$13, 100%, $E$13)</f>
        <v>20.759499999999999</v>
      </c>
      <c r="J848" s="61">
        <f>15.1519 * CHOOSE(CONTROL!$C$19, $C$13, 100%, $E$13)</f>
        <v>15.151899999999999</v>
      </c>
      <c r="K848" s="61">
        <f>15.152 * CHOOSE(CONTROL!$C$19, $C$13, 100%, $E$13)</f>
        <v>15.151999999999999</v>
      </c>
    </row>
    <row r="849" spans="1:11" ht="15">
      <c r="A849" s="13">
        <v>67693</v>
      </c>
      <c r="B849" s="60">
        <f>12.463 * CHOOSE(CONTROL!$C$19, $C$13, 100%, $E$13)</f>
        <v>12.462999999999999</v>
      </c>
      <c r="C849" s="60">
        <f>12.463 * CHOOSE(CONTROL!$C$19, $C$13, 100%, $E$13)</f>
        <v>12.462999999999999</v>
      </c>
      <c r="D849" s="60">
        <f>12.4933 * CHOOSE(CONTROL!$C$19, $C$13, 100%, $E$13)</f>
        <v>12.4933</v>
      </c>
      <c r="E849" s="61">
        <f>15.2305 * CHOOSE(CONTROL!$C$19, $C$13, 100%, $E$13)</f>
        <v>15.230499999999999</v>
      </c>
      <c r="F849" s="61">
        <f>15.2305 * CHOOSE(CONTROL!$C$19, $C$13, 100%, $E$13)</f>
        <v>15.230499999999999</v>
      </c>
      <c r="G849" s="61">
        <f>15.2324 * CHOOSE(CONTROL!$C$19, $C$13, 100%, $E$13)</f>
        <v>15.2324</v>
      </c>
      <c r="H849" s="61">
        <f>20.8026* CHOOSE(CONTROL!$C$19, $C$13, 100%, $E$13)</f>
        <v>20.802600000000002</v>
      </c>
      <c r="I849" s="61">
        <f>20.8045 * CHOOSE(CONTROL!$C$19, $C$13, 100%, $E$13)</f>
        <v>20.804500000000001</v>
      </c>
      <c r="J849" s="61">
        <f>15.2305 * CHOOSE(CONTROL!$C$19, $C$13, 100%, $E$13)</f>
        <v>15.230499999999999</v>
      </c>
      <c r="K849" s="61">
        <f>15.2324 * CHOOSE(CONTROL!$C$19, $C$13, 100%, $E$13)</f>
        <v>15.2324</v>
      </c>
    </row>
    <row r="850" spans="1:11" ht="15">
      <c r="A850" s="13">
        <v>67724</v>
      </c>
      <c r="B850" s="60">
        <f>12.4691 * CHOOSE(CONTROL!$C$19, $C$13, 100%, $E$13)</f>
        <v>12.469099999999999</v>
      </c>
      <c r="C850" s="60">
        <f>12.4691 * CHOOSE(CONTROL!$C$19, $C$13, 100%, $E$13)</f>
        <v>12.469099999999999</v>
      </c>
      <c r="D850" s="60">
        <f>12.4994 * CHOOSE(CONTROL!$C$19, $C$13, 100%, $E$13)</f>
        <v>12.4994</v>
      </c>
      <c r="E850" s="61">
        <f>15.1561 * CHOOSE(CONTROL!$C$19, $C$13, 100%, $E$13)</f>
        <v>15.1561</v>
      </c>
      <c r="F850" s="61">
        <f>15.1561 * CHOOSE(CONTROL!$C$19, $C$13, 100%, $E$13)</f>
        <v>15.1561</v>
      </c>
      <c r="G850" s="61">
        <f>15.158 * CHOOSE(CONTROL!$C$19, $C$13, 100%, $E$13)</f>
        <v>15.157999999999999</v>
      </c>
      <c r="H850" s="61">
        <f>20.8459* CHOOSE(CONTROL!$C$19, $C$13, 100%, $E$13)</f>
        <v>20.8459</v>
      </c>
      <c r="I850" s="61">
        <f>20.8479 * CHOOSE(CONTROL!$C$19, $C$13, 100%, $E$13)</f>
        <v>20.847899999999999</v>
      </c>
      <c r="J850" s="61">
        <f>15.1561 * CHOOSE(CONTROL!$C$19, $C$13, 100%, $E$13)</f>
        <v>15.1561</v>
      </c>
      <c r="K850" s="61">
        <f>15.158 * CHOOSE(CONTROL!$C$19, $C$13, 100%, $E$13)</f>
        <v>15.157999999999999</v>
      </c>
    </row>
    <row r="851" spans="1:11" ht="15">
      <c r="A851" s="13">
        <v>67754</v>
      </c>
      <c r="B851" s="60">
        <f>12.6422 * CHOOSE(CONTROL!$C$19, $C$13, 100%, $E$13)</f>
        <v>12.642200000000001</v>
      </c>
      <c r="C851" s="60">
        <f>12.6422 * CHOOSE(CONTROL!$C$19, $C$13, 100%, $E$13)</f>
        <v>12.642200000000001</v>
      </c>
      <c r="D851" s="60">
        <f>12.6726 * CHOOSE(CONTROL!$C$19, $C$13, 100%, $E$13)</f>
        <v>12.672599999999999</v>
      </c>
      <c r="E851" s="61">
        <f>15.4312 * CHOOSE(CONTROL!$C$19, $C$13, 100%, $E$13)</f>
        <v>15.4312</v>
      </c>
      <c r="F851" s="61">
        <f>15.4312 * CHOOSE(CONTROL!$C$19, $C$13, 100%, $E$13)</f>
        <v>15.4312</v>
      </c>
      <c r="G851" s="61">
        <f>15.4331 * CHOOSE(CONTROL!$C$19, $C$13, 100%, $E$13)</f>
        <v>15.4331</v>
      </c>
      <c r="H851" s="61">
        <f>20.8894* CHOOSE(CONTROL!$C$19, $C$13, 100%, $E$13)</f>
        <v>20.889399999999998</v>
      </c>
      <c r="I851" s="61">
        <f>20.8913 * CHOOSE(CONTROL!$C$19, $C$13, 100%, $E$13)</f>
        <v>20.891300000000001</v>
      </c>
      <c r="J851" s="61">
        <f>15.4312 * CHOOSE(CONTROL!$C$19, $C$13, 100%, $E$13)</f>
        <v>15.4312</v>
      </c>
      <c r="K851" s="61">
        <f>15.4331 * CHOOSE(CONTROL!$C$19, $C$13, 100%, $E$13)</f>
        <v>15.4331</v>
      </c>
    </row>
    <row r="852" spans="1:11" ht="15">
      <c r="A852" s="13">
        <v>67785</v>
      </c>
      <c r="B852" s="60">
        <f>12.6489 * CHOOSE(CONTROL!$C$19, $C$13, 100%, $E$13)</f>
        <v>12.648899999999999</v>
      </c>
      <c r="C852" s="60">
        <f>12.6489 * CHOOSE(CONTROL!$C$19, $C$13, 100%, $E$13)</f>
        <v>12.648899999999999</v>
      </c>
      <c r="D852" s="60">
        <f>12.6793 * CHOOSE(CONTROL!$C$19, $C$13, 100%, $E$13)</f>
        <v>12.6793</v>
      </c>
      <c r="E852" s="61">
        <f>15.1999 * CHOOSE(CONTROL!$C$19, $C$13, 100%, $E$13)</f>
        <v>15.1999</v>
      </c>
      <c r="F852" s="61">
        <f>15.1999 * CHOOSE(CONTROL!$C$19, $C$13, 100%, $E$13)</f>
        <v>15.1999</v>
      </c>
      <c r="G852" s="61">
        <f>15.2018 * CHOOSE(CONTROL!$C$19, $C$13, 100%, $E$13)</f>
        <v>15.2018</v>
      </c>
      <c r="H852" s="61">
        <f>20.9329* CHOOSE(CONTROL!$C$19, $C$13, 100%, $E$13)</f>
        <v>20.9329</v>
      </c>
      <c r="I852" s="61">
        <f>20.9348 * CHOOSE(CONTROL!$C$19, $C$13, 100%, $E$13)</f>
        <v>20.934799999999999</v>
      </c>
      <c r="J852" s="61">
        <f>15.1999 * CHOOSE(CONTROL!$C$19, $C$13, 100%, $E$13)</f>
        <v>15.1999</v>
      </c>
      <c r="K852" s="61">
        <f>15.2018 * CHOOSE(CONTROL!$C$19, $C$13, 100%, $E$13)</f>
        <v>15.2018</v>
      </c>
    </row>
    <row r="853" spans="1:11" ht="15">
      <c r="A853" s="13">
        <v>67816</v>
      </c>
      <c r="B853" s="60">
        <f>12.6459 * CHOOSE(CONTROL!$C$19, $C$13, 100%, $E$13)</f>
        <v>12.645899999999999</v>
      </c>
      <c r="C853" s="60">
        <f>12.6459 * CHOOSE(CONTROL!$C$19, $C$13, 100%, $E$13)</f>
        <v>12.645899999999999</v>
      </c>
      <c r="D853" s="60">
        <f>12.6762 * CHOOSE(CONTROL!$C$19, $C$13, 100%, $E$13)</f>
        <v>12.6762</v>
      </c>
      <c r="E853" s="61">
        <f>15.1716 * CHOOSE(CONTROL!$C$19, $C$13, 100%, $E$13)</f>
        <v>15.1716</v>
      </c>
      <c r="F853" s="61">
        <f>15.1716 * CHOOSE(CONTROL!$C$19, $C$13, 100%, $E$13)</f>
        <v>15.1716</v>
      </c>
      <c r="G853" s="61">
        <f>15.1735 * CHOOSE(CONTROL!$C$19, $C$13, 100%, $E$13)</f>
        <v>15.173500000000001</v>
      </c>
      <c r="H853" s="61">
        <f>20.9765* CHOOSE(CONTROL!$C$19, $C$13, 100%, $E$13)</f>
        <v>20.976500000000001</v>
      </c>
      <c r="I853" s="61">
        <f>20.9784 * CHOOSE(CONTROL!$C$19, $C$13, 100%, $E$13)</f>
        <v>20.978400000000001</v>
      </c>
      <c r="J853" s="61">
        <f>15.1716 * CHOOSE(CONTROL!$C$19, $C$13, 100%, $E$13)</f>
        <v>15.1716</v>
      </c>
      <c r="K853" s="61">
        <f>15.1735 * CHOOSE(CONTROL!$C$19, $C$13, 100%, $E$13)</f>
        <v>15.173500000000001</v>
      </c>
    </row>
    <row r="854" spans="1:11" ht="15">
      <c r="A854" s="13">
        <v>67846</v>
      </c>
      <c r="B854" s="60">
        <f>12.6738 * CHOOSE(CONTROL!$C$19, $C$13, 100%, $E$13)</f>
        <v>12.6738</v>
      </c>
      <c r="C854" s="60">
        <f>12.6738 * CHOOSE(CONTROL!$C$19, $C$13, 100%, $E$13)</f>
        <v>12.6738</v>
      </c>
      <c r="D854" s="60">
        <f>12.6889 * CHOOSE(CONTROL!$C$19, $C$13, 100%, $E$13)</f>
        <v>12.6889</v>
      </c>
      <c r="E854" s="61">
        <f>15.263 * CHOOSE(CONTROL!$C$19, $C$13, 100%, $E$13)</f>
        <v>15.263</v>
      </c>
      <c r="F854" s="61">
        <f>15.263 * CHOOSE(CONTROL!$C$19, $C$13, 100%, $E$13)</f>
        <v>15.263</v>
      </c>
      <c r="G854" s="61">
        <f>15.2632 * CHOOSE(CONTROL!$C$19, $C$13, 100%, $E$13)</f>
        <v>15.263199999999999</v>
      </c>
      <c r="H854" s="61">
        <f>21.0202* CHOOSE(CONTROL!$C$19, $C$13, 100%, $E$13)</f>
        <v>21.020199999999999</v>
      </c>
      <c r="I854" s="61">
        <f>21.0204 * CHOOSE(CONTROL!$C$19, $C$13, 100%, $E$13)</f>
        <v>21.020399999999999</v>
      </c>
      <c r="J854" s="61">
        <f>15.263 * CHOOSE(CONTROL!$C$19, $C$13, 100%, $E$13)</f>
        <v>15.263</v>
      </c>
      <c r="K854" s="61">
        <f>15.2632 * CHOOSE(CONTROL!$C$19, $C$13, 100%, $E$13)</f>
        <v>15.263199999999999</v>
      </c>
    </row>
    <row r="855" spans="1:11" ht="15">
      <c r="A855" s="13">
        <v>67877</v>
      </c>
      <c r="B855" s="60">
        <f>12.6768 * CHOOSE(CONTROL!$C$19, $C$13, 100%, $E$13)</f>
        <v>12.6768</v>
      </c>
      <c r="C855" s="60">
        <f>12.6768 * CHOOSE(CONTROL!$C$19, $C$13, 100%, $E$13)</f>
        <v>12.6768</v>
      </c>
      <c r="D855" s="60">
        <f>12.692 * CHOOSE(CONTROL!$C$19, $C$13, 100%, $E$13)</f>
        <v>12.692</v>
      </c>
      <c r="E855" s="61">
        <f>15.3176 * CHOOSE(CONTROL!$C$19, $C$13, 100%, $E$13)</f>
        <v>15.317600000000001</v>
      </c>
      <c r="F855" s="61">
        <f>15.3176 * CHOOSE(CONTROL!$C$19, $C$13, 100%, $E$13)</f>
        <v>15.317600000000001</v>
      </c>
      <c r="G855" s="61">
        <f>15.3177 * CHOOSE(CONTROL!$C$19, $C$13, 100%, $E$13)</f>
        <v>15.3177</v>
      </c>
      <c r="H855" s="61">
        <f>21.064* CHOOSE(CONTROL!$C$19, $C$13, 100%, $E$13)</f>
        <v>21.064</v>
      </c>
      <c r="I855" s="61">
        <f>21.0642 * CHOOSE(CONTROL!$C$19, $C$13, 100%, $E$13)</f>
        <v>21.0642</v>
      </c>
      <c r="J855" s="61">
        <f>15.3176 * CHOOSE(CONTROL!$C$19, $C$13, 100%, $E$13)</f>
        <v>15.317600000000001</v>
      </c>
      <c r="K855" s="61">
        <f>15.3177 * CHOOSE(CONTROL!$C$19, $C$13, 100%, $E$13)</f>
        <v>15.3177</v>
      </c>
    </row>
    <row r="856" spans="1:11" ht="15">
      <c r="A856" s="13">
        <v>67907</v>
      </c>
      <c r="B856" s="60">
        <f>12.6768 * CHOOSE(CONTROL!$C$19, $C$13, 100%, $E$13)</f>
        <v>12.6768</v>
      </c>
      <c r="C856" s="60">
        <f>12.6768 * CHOOSE(CONTROL!$C$19, $C$13, 100%, $E$13)</f>
        <v>12.6768</v>
      </c>
      <c r="D856" s="60">
        <f>12.692 * CHOOSE(CONTROL!$C$19, $C$13, 100%, $E$13)</f>
        <v>12.692</v>
      </c>
      <c r="E856" s="61">
        <f>15.1865 * CHOOSE(CONTROL!$C$19, $C$13, 100%, $E$13)</f>
        <v>15.186500000000001</v>
      </c>
      <c r="F856" s="61">
        <f>15.1865 * CHOOSE(CONTROL!$C$19, $C$13, 100%, $E$13)</f>
        <v>15.186500000000001</v>
      </c>
      <c r="G856" s="61">
        <f>15.1867 * CHOOSE(CONTROL!$C$19, $C$13, 100%, $E$13)</f>
        <v>15.1867</v>
      </c>
      <c r="H856" s="61">
        <f>21.1079* CHOOSE(CONTROL!$C$19, $C$13, 100%, $E$13)</f>
        <v>21.107900000000001</v>
      </c>
      <c r="I856" s="61">
        <f>21.1081 * CHOOSE(CONTROL!$C$19, $C$13, 100%, $E$13)</f>
        <v>21.1081</v>
      </c>
      <c r="J856" s="61">
        <f>15.1865 * CHOOSE(CONTROL!$C$19, $C$13, 100%, $E$13)</f>
        <v>15.186500000000001</v>
      </c>
      <c r="K856" s="61">
        <f>15.1867 * CHOOSE(CONTROL!$C$19, $C$13, 100%, $E$13)</f>
        <v>15.1867</v>
      </c>
    </row>
    <row r="857" spans="1:11" ht="15">
      <c r="A857" s="13">
        <v>67938</v>
      </c>
      <c r="B857" s="60">
        <f>12.6597 * CHOOSE(CONTROL!$C$19, $C$13, 100%, $E$13)</f>
        <v>12.659700000000001</v>
      </c>
      <c r="C857" s="60">
        <f>12.6597 * CHOOSE(CONTROL!$C$19, $C$13, 100%, $E$13)</f>
        <v>12.659700000000001</v>
      </c>
      <c r="D857" s="60">
        <f>12.6749 * CHOOSE(CONTROL!$C$19, $C$13, 100%, $E$13)</f>
        <v>12.674899999999999</v>
      </c>
      <c r="E857" s="61">
        <f>15.2549 * CHOOSE(CONTROL!$C$19, $C$13, 100%, $E$13)</f>
        <v>15.254899999999999</v>
      </c>
      <c r="F857" s="61">
        <f>15.2549 * CHOOSE(CONTROL!$C$19, $C$13, 100%, $E$13)</f>
        <v>15.254899999999999</v>
      </c>
      <c r="G857" s="61">
        <f>15.2551 * CHOOSE(CONTROL!$C$19, $C$13, 100%, $E$13)</f>
        <v>15.255100000000001</v>
      </c>
      <c r="H857" s="61">
        <f>20.9548* CHOOSE(CONTROL!$C$19, $C$13, 100%, $E$13)</f>
        <v>20.954799999999999</v>
      </c>
      <c r="I857" s="61">
        <f>20.955 * CHOOSE(CONTROL!$C$19, $C$13, 100%, $E$13)</f>
        <v>20.954999999999998</v>
      </c>
      <c r="J857" s="61">
        <f>15.2549 * CHOOSE(CONTROL!$C$19, $C$13, 100%, $E$13)</f>
        <v>15.254899999999999</v>
      </c>
      <c r="K857" s="61">
        <f>15.2551 * CHOOSE(CONTROL!$C$19, $C$13, 100%, $E$13)</f>
        <v>15.255100000000001</v>
      </c>
    </row>
    <row r="858" spans="1:11" ht="15">
      <c r="A858" s="13">
        <v>67969</v>
      </c>
      <c r="B858" s="60">
        <f>12.6566 * CHOOSE(CONTROL!$C$19, $C$13, 100%, $E$13)</f>
        <v>12.656599999999999</v>
      </c>
      <c r="C858" s="60">
        <f>12.6566 * CHOOSE(CONTROL!$C$19, $C$13, 100%, $E$13)</f>
        <v>12.656599999999999</v>
      </c>
      <c r="D858" s="60">
        <f>12.6718 * CHOOSE(CONTROL!$C$19, $C$13, 100%, $E$13)</f>
        <v>12.671799999999999</v>
      </c>
      <c r="E858" s="61">
        <f>15.0006 * CHOOSE(CONTROL!$C$19, $C$13, 100%, $E$13)</f>
        <v>15.0006</v>
      </c>
      <c r="F858" s="61">
        <f>15.0006 * CHOOSE(CONTROL!$C$19, $C$13, 100%, $E$13)</f>
        <v>15.0006</v>
      </c>
      <c r="G858" s="61">
        <f>15.0008 * CHOOSE(CONTROL!$C$19, $C$13, 100%, $E$13)</f>
        <v>15.0008</v>
      </c>
      <c r="H858" s="61">
        <f>20.9985* CHOOSE(CONTROL!$C$19, $C$13, 100%, $E$13)</f>
        <v>20.9985</v>
      </c>
      <c r="I858" s="61">
        <f>20.9986 * CHOOSE(CONTROL!$C$19, $C$13, 100%, $E$13)</f>
        <v>20.9986</v>
      </c>
      <c r="J858" s="61">
        <f>15.0006 * CHOOSE(CONTROL!$C$19, $C$13, 100%, $E$13)</f>
        <v>15.0006</v>
      </c>
      <c r="K858" s="61">
        <f>15.0008 * CHOOSE(CONTROL!$C$19, $C$13, 100%, $E$13)</f>
        <v>15.0008</v>
      </c>
    </row>
    <row r="859" spans="1:11" ht="15">
      <c r="A859" s="13">
        <v>67997</v>
      </c>
      <c r="B859" s="60">
        <f>12.6536 * CHOOSE(CONTROL!$C$19, $C$13, 100%, $E$13)</f>
        <v>12.653600000000001</v>
      </c>
      <c r="C859" s="60">
        <f>12.6536 * CHOOSE(CONTROL!$C$19, $C$13, 100%, $E$13)</f>
        <v>12.653600000000001</v>
      </c>
      <c r="D859" s="60">
        <f>12.6688 * CHOOSE(CONTROL!$C$19, $C$13, 100%, $E$13)</f>
        <v>12.668799999999999</v>
      </c>
      <c r="E859" s="61">
        <f>15.1973 * CHOOSE(CONTROL!$C$19, $C$13, 100%, $E$13)</f>
        <v>15.1973</v>
      </c>
      <c r="F859" s="61">
        <f>15.1973 * CHOOSE(CONTROL!$C$19, $C$13, 100%, $E$13)</f>
        <v>15.1973</v>
      </c>
      <c r="G859" s="61">
        <f>15.1975 * CHOOSE(CONTROL!$C$19, $C$13, 100%, $E$13)</f>
        <v>15.1975</v>
      </c>
      <c r="H859" s="61">
        <f>21.0422* CHOOSE(CONTROL!$C$19, $C$13, 100%, $E$13)</f>
        <v>21.042200000000001</v>
      </c>
      <c r="I859" s="61">
        <f>21.0424 * CHOOSE(CONTROL!$C$19, $C$13, 100%, $E$13)</f>
        <v>21.042400000000001</v>
      </c>
      <c r="J859" s="61">
        <f>15.1973 * CHOOSE(CONTROL!$C$19, $C$13, 100%, $E$13)</f>
        <v>15.1973</v>
      </c>
      <c r="K859" s="61">
        <f>15.1975 * CHOOSE(CONTROL!$C$19, $C$13, 100%, $E$13)</f>
        <v>15.1975</v>
      </c>
    </row>
    <row r="860" spans="1:11" ht="15">
      <c r="A860" s="13">
        <v>68028</v>
      </c>
      <c r="B860" s="60">
        <f>12.6598 * CHOOSE(CONTROL!$C$19, $C$13, 100%, $E$13)</f>
        <v>12.659800000000001</v>
      </c>
      <c r="C860" s="60">
        <f>12.6598 * CHOOSE(CONTROL!$C$19, $C$13, 100%, $E$13)</f>
        <v>12.659800000000001</v>
      </c>
      <c r="D860" s="60">
        <f>12.675 * CHOOSE(CONTROL!$C$19, $C$13, 100%, $E$13)</f>
        <v>12.675000000000001</v>
      </c>
      <c r="E860" s="61">
        <f>15.4065 * CHOOSE(CONTROL!$C$19, $C$13, 100%, $E$13)</f>
        <v>15.406499999999999</v>
      </c>
      <c r="F860" s="61">
        <f>15.4065 * CHOOSE(CONTROL!$C$19, $C$13, 100%, $E$13)</f>
        <v>15.406499999999999</v>
      </c>
      <c r="G860" s="61">
        <f>15.4067 * CHOOSE(CONTROL!$C$19, $C$13, 100%, $E$13)</f>
        <v>15.406700000000001</v>
      </c>
      <c r="H860" s="61">
        <f>21.0861* CHOOSE(CONTROL!$C$19, $C$13, 100%, $E$13)</f>
        <v>21.086099999999998</v>
      </c>
      <c r="I860" s="61">
        <f>21.0862 * CHOOSE(CONTROL!$C$19, $C$13, 100%, $E$13)</f>
        <v>21.086200000000002</v>
      </c>
      <c r="J860" s="61">
        <f>15.4065 * CHOOSE(CONTROL!$C$19, $C$13, 100%, $E$13)</f>
        <v>15.406499999999999</v>
      </c>
      <c r="K860" s="61">
        <f>15.4067 * CHOOSE(CONTROL!$C$19, $C$13, 100%, $E$13)</f>
        <v>15.406700000000001</v>
      </c>
    </row>
    <row r="861" spans="1:11" ht="15">
      <c r="A861" s="13">
        <v>68058</v>
      </c>
      <c r="B861" s="60">
        <f>12.6598 * CHOOSE(CONTROL!$C$19, $C$13, 100%, $E$13)</f>
        <v>12.659800000000001</v>
      </c>
      <c r="C861" s="60">
        <f>12.6598 * CHOOSE(CONTROL!$C$19, $C$13, 100%, $E$13)</f>
        <v>12.659800000000001</v>
      </c>
      <c r="D861" s="60">
        <f>12.6901 * CHOOSE(CONTROL!$C$19, $C$13, 100%, $E$13)</f>
        <v>12.690099999999999</v>
      </c>
      <c r="E861" s="61">
        <f>15.4866 * CHOOSE(CONTROL!$C$19, $C$13, 100%, $E$13)</f>
        <v>15.486599999999999</v>
      </c>
      <c r="F861" s="61">
        <f>15.4866 * CHOOSE(CONTROL!$C$19, $C$13, 100%, $E$13)</f>
        <v>15.486599999999999</v>
      </c>
      <c r="G861" s="61">
        <f>15.4885 * CHOOSE(CONTROL!$C$19, $C$13, 100%, $E$13)</f>
        <v>15.4885</v>
      </c>
      <c r="H861" s="61">
        <f>21.13* CHOOSE(CONTROL!$C$19, $C$13, 100%, $E$13)</f>
        <v>21.13</v>
      </c>
      <c r="I861" s="61">
        <f>21.1319 * CHOOSE(CONTROL!$C$19, $C$13, 100%, $E$13)</f>
        <v>21.131900000000002</v>
      </c>
      <c r="J861" s="61">
        <f>15.4866 * CHOOSE(CONTROL!$C$19, $C$13, 100%, $E$13)</f>
        <v>15.486599999999999</v>
      </c>
      <c r="K861" s="61">
        <f>15.4885 * CHOOSE(CONTROL!$C$19, $C$13, 100%, $E$13)</f>
        <v>15.4885</v>
      </c>
    </row>
    <row r="862" spans="1:11" ht="15">
      <c r="A862" s="13">
        <v>68089</v>
      </c>
      <c r="B862" s="60">
        <f>12.6659 * CHOOSE(CONTROL!$C$19, $C$13, 100%, $E$13)</f>
        <v>12.665900000000001</v>
      </c>
      <c r="C862" s="60">
        <f>12.6659 * CHOOSE(CONTROL!$C$19, $C$13, 100%, $E$13)</f>
        <v>12.665900000000001</v>
      </c>
      <c r="D862" s="60">
        <f>12.6962 * CHOOSE(CONTROL!$C$19, $C$13, 100%, $E$13)</f>
        <v>12.696199999999999</v>
      </c>
      <c r="E862" s="61">
        <f>15.4108 * CHOOSE(CONTROL!$C$19, $C$13, 100%, $E$13)</f>
        <v>15.4108</v>
      </c>
      <c r="F862" s="61">
        <f>15.4108 * CHOOSE(CONTROL!$C$19, $C$13, 100%, $E$13)</f>
        <v>15.4108</v>
      </c>
      <c r="G862" s="61">
        <f>15.4127 * CHOOSE(CONTROL!$C$19, $C$13, 100%, $E$13)</f>
        <v>15.412699999999999</v>
      </c>
      <c r="H862" s="61">
        <f>21.174* CHOOSE(CONTROL!$C$19, $C$13, 100%, $E$13)</f>
        <v>21.173999999999999</v>
      </c>
      <c r="I862" s="61">
        <f>21.1759 * CHOOSE(CONTROL!$C$19, $C$13, 100%, $E$13)</f>
        <v>21.175899999999999</v>
      </c>
      <c r="J862" s="61">
        <f>15.4108 * CHOOSE(CONTROL!$C$19, $C$13, 100%, $E$13)</f>
        <v>15.4108</v>
      </c>
      <c r="K862" s="61">
        <f>15.4127 * CHOOSE(CONTROL!$C$19, $C$13, 100%, $E$13)</f>
        <v>15.412699999999999</v>
      </c>
    </row>
    <row r="863" spans="1:11" ht="15">
      <c r="A863" s="13">
        <v>68119</v>
      </c>
      <c r="B863" s="60">
        <f>12.8415 * CHOOSE(CONTROL!$C$19, $C$13, 100%, $E$13)</f>
        <v>12.8415</v>
      </c>
      <c r="C863" s="60">
        <f>12.8415 * CHOOSE(CONTROL!$C$19, $C$13, 100%, $E$13)</f>
        <v>12.8415</v>
      </c>
      <c r="D863" s="60">
        <f>12.8719 * CHOOSE(CONTROL!$C$19, $C$13, 100%, $E$13)</f>
        <v>12.8719</v>
      </c>
      <c r="E863" s="61">
        <f>15.6903 * CHOOSE(CONTROL!$C$19, $C$13, 100%, $E$13)</f>
        <v>15.690300000000001</v>
      </c>
      <c r="F863" s="61">
        <f>15.6903 * CHOOSE(CONTROL!$C$19, $C$13, 100%, $E$13)</f>
        <v>15.690300000000001</v>
      </c>
      <c r="G863" s="61">
        <f>15.6922 * CHOOSE(CONTROL!$C$19, $C$13, 100%, $E$13)</f>
        <v>15.6922</v>
      </c>
      <c r="H863" s="61">
        <f>21.2181* CHOOSE(CONTROL!$C$19, $C$13, 100%, $E$13)</f>
        <v>21.2181</v>
      </c>
      <c r="I863" s="61">
        <f>21.22 * CHOOSE(CONTROL!$C$19, $C$13, 100%, $E$13)</f>
        <v>21.22</v>
      </c>
      <c r="J863" s="61">
        <f>15.6903 * CHOOSE(CONTROL!$C$19, $C$13, 100%, $E$13)</f>
        <v>15.690300000000001</v>
      </c>
      <c r="K863" s="61">
        <f>15.6922 * CHOOSE(CONTROL!$C$19, $C$13, 100%, $E$13)</f>
        <v>15.6922</v>
      </c>
    </row>
    <row r="864" spans="1:11" ht="15">
      <c r="A864" s="13">
        <v>68150</v>
      </c>
      <c r="B864" s="60">
        <f>12.8482 * CHOOSE(CONTROL!$C$19, $C$13, 100%, $E$13)</f>
        <v>12.8482</v>
      </c>
      <c r="C864" s="60">
        <f>12.8482 * CHOOSE(CONTROL!$C$19, $C$13, 100%, $E$13)</f>
        <v>12.8482</v>
      </c>
      <c r="D864" s="60">
        <f>12.8786 * CHOOSE(CONTROL!$C$19, $C$13, 100%, $E$13)</f>
        <v>12.8786</v>
      </c>
      <c r="E864" s="61">
        <f>15.4548 * CHOOSE(CONTROL!$C$19, $C$13, 100%, $E$13)</f>
        <v>15.454800000000001</v>
      </c>
      <c r="F864" s="61">
        <f>15.4548 * CHOOSE(CONTROL!$C$19, $C$13, 100%, $E$13)</f>
        <v>15.454800000000001</v>
      </c>
      <c r="G864" s="61">
        <f>15.4567 * CHOOSE(CONTROL!$C$19, $C$13, 100%, $E$13)</f>
        <v>15.4567</v>
      </c>
      <c r="H864" s="61">
        <f>21.2623* CHOOSE(CONTROL!$C$19, $C$13, 100%, $E$13)</f>
        <v>21.2623</v>
      </c>
      <c r="I864" s="61">
        <f>21.2642 * CHOOSE(CONTROL!$C$19, $C$13, 100%, $E$13)</f>
        <v>21.264199999999999</v>
      </c>
      <c r="J864" s="61">
        <f>15.4548 * CHOOSE(CONTROL!$C$19, $C$13, 100%, $E$13)</f>
        <v>15.454800000000001</v>
      </c>
      <c r="K864" s="61">
        <f>15.4567 * CHOOSE(CONTROL!$C$19, $C$13, 100%, $E$13)</f>
        <v>15.4567</v>
      </c>
    </row>
    <row r="865" spans="1:11" ht="15">
      <c r="A865" s="13">
        <v>68181</v>
      </c>
      <c r="B865" s="60">
        <f>12.8452 * CHOOSE(CONTROL!$C$19, $C$13, 100%, $E$13)</f>
        <v>12.8452</v>
      </c>
      <c r="C865" s="60">
        <f>12.8452 * CHOOSE(CONTROL!$C$19, $C$13, 100%, $E$13)</f>
        <v>12.8452</v>
      </c>
      <c r="D865" s="60">
        <f>12.8755 * CHOOSE(CONTROL!$C$19, $C$13, 100%, $E$13)</f>
        <v>12.875500000000001</v>
      </c>
      <c r="E865" s="61">
        <f>15.426 * CHOOSE(CONTROL!$C$19, $C$13, 100%, $E$13)</f>
        <v>15.426</v>
      </c>
      <c r="F865" s="61">
        <f>15.426 * CHOOSE(CONTROL!$C$19, $C$13, 100%, $E$13)</f>
        <v>15.426</v>
      </c>
      <c r="G865" s="61">
        <f>15.4279 * CHOOSE(CONTROL!$C$19, $C$13, 100%, $E$13)</f>
        <v>15.427899999999999</v>
      </c>
      <c r="H865" s="61">
        <f>21.3066* CHOOSE(CONTROL!$C$19, $C$13, 100%, $E$13)</f>
        <v>21.3066</v>
      </c>
      <c r="I865" s="61">
        <f>21.3085 * CHOOSE(CONTROL!$C$19, $C$13, 100%, $E$13)</f>
        <v>21.308499999999999</v>
      </c>
      <c r="J865" s="61">
        <f>15.426 * CHOOSE(CONTROL!$C$19, $C$13, 100%, $E$13)</f>
        <v>15.426</v>
      </c>
      <c r="K865" s="61">
        <f>15.4279 * CHOOSE(CONTROL!$C$19, $C$13, 100%, $E$13)</f>
        <v>15.427899999999999</v>
      </c>
    </row>
    <row r="866" spans="1:11" ht="15">
      <c r="A866" s="13">
        <v>68211</v>
      </c>
      <c r="B866" s="60">
        <f>12.8738 * CHOOSE(CONTROL!$C$19, $C$13, 100%, $E$13)</f>
        <v>12.873799999999999</v>
      </c>
      <c r="C866" s="60">
        <f>12.8738 * CHOOSE(CONTROL!$C$19, $C$13, 100%, $E$13)</f>
        <v>12.873799999999999</v>
      </c>
      <c r="D866" s="60">
        <f>12.889 * CHOOSE(CONTROL!$C$19, $C$13, 100%, $E$13)</f>
        <v>12.888999999999999</v>
      </c>
      <c r="E866" s="61">
        <f>15.5193 * CHOOSE(CONTROL!$C$19, $C$13, 100%, $E$13)</f>
        <v>15.519299999999999</v>
      </c>
      <c r="F866" s="61">
        <f>15.5193 * CHOOSE(CONTROL!$C$19, $C$13, 100%, $E$13)</f>
        <v>15.519299999999999</v>
      </c>
      <c r="G866" s="61">
        <f>15.5195 * CHOOSE(CONTROL!$C$19, $C$13, 100%, $E$13)</f>
        <v>15.519500000000001</v>
      </c>
      <c r="H866" s="61">
        <f>21.351* CHOOSE(CONTROL!$C$19, $C$13, 100%, $E$13)</f>
        <v>21.350999999999999</v>
      </c>
      <c r="I866" s="61">
        <f>21.3512 * CHOOSE(CONTROL!$C$19, $C$13, 100%, $E$13)</f>
        <v>21.351199999999999</v>
      </c>
      <c r="J866" s="61">
        <f>15.5193 * CHOOSE(CONTROL!$C$19, $C$13, 100%, $E$13)</f>
        <v>15.519299999999999</v>
      </c>
      <c r="K866" s="61">
        <f>15.5195 * CHOOSE(CONTROL!$C$19, $C$13, 100%, $E$13)</f>
        <v>15.519500000000001</v>
      </c>
    </row>
    <row r="867" spans="1:11" ht="15">
      <c r="A867" s="13">
        <v>68242</v>
      </c>
      <c r="B867" s="60">
        <f>12.8769 * CHOOSE(CONTROL!$C$19, $C$13, 100%, $E$13)</f>
        <v>12.876899999999999</v>
      </c>
      <c r="C867" s="60">
        <f>12.8769 * CHOOSE(CONTROL!$C$19, $C$13, 100%, $E$13)</f>
        <v>12.876899999999999</v>
      </c>
      <c r="D867" s="60">
        <f>12.8921 * CHOOSE(CONTROL!$C$19, $C$13, 100%, $E$13)</f>
        <v>12.892099999999999</v>
      </c>
      <c r="E867" s="61">
        <f>15.5748 * CHOOSE(CONTROL!$C$19, $C$13, 100%, $E$13)</f>
        <v>15.5748</v>
      </c>
      <c r="F867" s="61">
        <f>15.5748 * CHOOSE(CONTROL!$C$19, $C$13, 100%, $E$13)</f>
        <v>15.5748</v>
      </c>
      <c r="G867" s="61">
        <f>15.575 * CHOOSE(CONTROL!$C$19, $C$13, 100%, $E$13)</f>
        <v>15.574999999999999</v>
      </c>
      <c r="H867" s="61">
        <f>21.3955* CHOOSE(CONTROL!$C$19, $C$13, 100%, $E$13)</f>
        <v>21.395499999999998</v>
      </c>
      <c r="I867" s="61">
        <f>21.3957 * CHOOSE(CONTROL!$C$19, $C$13, 100%, $E$13)</f>
        <v>21.395700000000001</v>
      </c>
      <c r="J867" s="61">
        <f>15.5748 * CHOOSE(CONTROL!$C$19, $C$13, 100%, $E$13)</f>
        <v>15.5748</v>
      </c>
      <c r="K867" s="61">
        <f>15.575 * CHOOSE(CONTROL!$C$19, $C$13, 100%, $E$13)</f>
        <v>15.574999999999999</v>
      </c>
    </row>
    <row r="868" spans="1:11" ht="15">
      <c r="A868" s="13">
        <v>68272</v>
      </c>
      <c r="B868" s="60">
        <f>12.8769 * CHOOSE(CONTROL!$C$19, $C$13, 100%, $E$13)</f>
        <v>12.876899999999999</v>
      </c>
      <c r="C868" s="60">
        <f>12.8769 * CHOOSE(CONTROL!$C$19, $C$13, 100%, $E$13)</f>
        <v>12.876899999999999</v>
      </c>
      <c r="D868" s="60">
        <f>12.8921 * CHOOSE(CONTROL!$C$19, $C$13, 100%, $E$13)</f>
        <v>12.892099999999999</v>
      </c>
      <c r="E868" s="61">
        <f>15.4413 * CHOOSE(CONTROL!$C$19, $C$13, 100%, $E$13)</f>
        <v>15.4413</v>
      </c>
      <c r="F868" s="61">
        <f>15.4413 * CHOOSE(CONTROL!$C$19, $C$13, 100%, $E$13)</f>
        <v>15.4413</v>
      </c>
      <c r="G868" s="61">
        <f>15.4415 * CHOOSE(CONTROL!$C$19, $C$13, 100%, $E$13)</f>
        <v>15.4415</v>
      </c>
      <c r="H868" s="61">
        <f>21.4401* CHOOSE(CONTROL!$C$19, $C$13, 100%, $E$13)</f>
        <v>21.440100000000001</v>
      </c>
      <c r="I868" s="61">
        <f>21.4402 * CHOOSE(CONTROL!$C$19, $C$13, 100%, $E$13)</f>
        <v>21.440200000000001</v>
      </c>
      <c r="J868" s="61">
        <f>15.4413 * CHOOSE(CONTROL!$C$19, $C$13, 100%, $E$13)</f>
        <v>15.4413</v>
      </c>
      <c r="K868" s="61">
        <f>15.4415 * CHOOSE(CONTROL!$C$19, $C$13, 100%, $E$13)</f>
        <v>15.4415</v>
      </c>
    </row>
    <row r="869" spans="1:11" ht="15">
      <c r="A869" s="13">
        <v>68303</v>
      </c>
      <c r="B869" s="60">
        <f>12.8563 * CHOOSE(CONTROL!$C$19, $C$13, 100%, $E$13)</f>
        <v>12.856299999999999</v>
      </c>
      <c r="C869" s="60">
        <f>12.8563 * CHOOSE(CONTROL!$C$19, $C$13, 100%, $E$13)</f>
        <v>12.856299999999999</v>
      </c>
      <c r="D869" s="60">
        <f>12.8715 * CHOOSE(CONTROL!$C$19, $C$13, 100%, $E$13)</f>
        <v>12.871499999999999</v>
      </c>
      <c r="E869" s="61">
        <f>15.5067 * CHOOSE(CONTROL!$C$19, $C$13, 100%, $E$13)</f>
        <v>15.5067</v>
      </c>
      <c r="F869" s="61">
        <f>15.5067 * CHOOSE(CONTROL!$C$19, $C$13, 100%, $E$13)</f>
        <v>15.5067</v>
      </c>
      <c r="G869" s="61">
        <f>15.5069 * CHOOSE(CONTROL!$C$19, $C$13, 100%, $E$13)</f>
        <v>15.5069</v>
      </c>
      <c r="H869" s="61">
        <f>21.2795* CHOOSE(CONTROL!$C$19, $C$13, 100%, $E$13)</f>
        <v>21.279499999999999</v>
      </c>
      <c r="I869" s="61">
        <f>21.2797 * CHOOSE(CONTROL!$C$19, $C$13, 100%, $E$13)</f>
        <v>21.279699999999998</v>
      </c>
      <c r="J869" s="61">
        <f>15.5067 * CHOOSE(CONTROL!$C$19, $C$13, 100%, $E$13)</f>
        <v>15.5067</v>
      </c>
      <c r="K869" s="61">
        <f>15.5069 * CHOOSE(CONTROL!$C$19, $C$13, 100%, $E$13)</f>
        <v>15.5069</v>
      </c>
    </row>
    <row r="870" spans="1:11" ht="15">
      <c r="A870" s="13">
        <v>68334</v>
      </c>
      <c r="B870" s="60">
        <f>12.8533 * CHOOSE(CONTROL!$C$19, $C$13, 100%, $E$13)</f>
        <v>12.853300000000001</v>
      </c>
      <c r="C870" s="60">
        <f>12.8533 * CHOOSE(CONTROL!$C$19, $C$13, 100%, $E$13)</f>
        <v>12.853300000000001</v>
      </c>
      <c r="D870" s="60">
        <f>12.8684 * CHOOSE(CONTROL!$C$19, $C$13, 100%, $E$13)</f>
        <v>12.868399999999999</v>
      </c>
      <c r="E870" s="61">
        <f>15.248 * CHOOSE(CONTROL!$C$19, $C$13, 100%, $E$13)</f>
        <v>15.247999999999999</v>
      </c>
      <c r="F870" s="61">
        <f>15.248 * CHOOSE(CONTROL!$C$19, $C$13, 100%, $E$13)</f>
        <v>15.247999999999999</v>
      </c>
      <c r="G870" s="61">
        <f>15.2482 * CHOOSE(CONTROL!$C$19, $C$13, 100%, $E$13)</f>
        <v>15.248200000000001</v>
      </c>
      <c r="H870" s="61">
        <f>21.3238* CHOOSE(CONTROL!$C$19, $C$13, 100%, $E$13)</f>
        <v>21.323799999999999</v>
      </c>
      <c r="I870" s="61">
        <f>21.324 * CHOOSE(CONTROL!$C$19, $C$13, 100%, $E$13)</f>
        <v>21.324000000000002</v>
      </c>
      <c r="J870" s="61">
        <f>15.248 * CHOOSE(CONTROL!$C$19, $C$13, 100%, $E$13)</f>
        <v>15.247999999999999</v>
      </c>
      <c r="K870" s="61">
        <f>15.2482 * CHOOSE(CONTROL!$C$19, $C$13, 100%, $E$13)</f>
        <v>15.248200000000001</v>
      </c>
    </row>
    <row r="871" spans="1:11" ht="15">
      <c r="A871" s="13">
        <v>68362</v>
      </c>
      <c r="B871" s="60">
        <f>12.8502 * CHOOSE(CONTROL!$C$19, $C$13, 100%, $E$13)</f>
        <v>12.850199999999999</v>
      </c>
      <c r="C871" s="60">
        <f>12.8502 * CHOOSE(CONTROL!$C$19, $C$13, 100%, $E$13)</f>
        <v>12.850199999999999</v>
      </c>
      <c r="D871" s="60">
        <f>12.8654 * CHOOSE(CONTROL!$C$19, $C$13, 100%, $E$13)</f>
        <v>12.865399999999999</v>
      </c>
      <c r="E871" s="61">
        <f>15.4482 * CHOOSE(CONTROL!$C$19, $C$13, 100%, $E$13)</f>
        <v>15.4482</v>
      </c>
      <c r="F871" s="61">
        <f>15.4482 * CHOOSE(CONTROL!$C$19, $C$13, 100%, $E$13)</f>
        <v>15.4482</v>
      </c>
      <c r="G871" s="61">
        <f>15.4484 * CHOOSE(CONTROL!$C$19, $C$13, 100%, $E$13)</f>
        <v>15.448399999999999</v>
      </c>
      <c r="H871" s="61">
        <f>21.3682* CHOOSE(CONTROL!$C$19, $C$13, 100%, $E$13)</f>
        <v>21.368200000000002</v>
      </c>
      <c r="I871" s="61">
        <f>21.3684 * CHOOSE(CONTROL!$C$19, $C$13, 100%, $E$13)</f>
        <v>21.368400000000001</v>
      </c>
      <c r="J871" s="61">
        <f>15.4482 * CHOOSE(CONTROL!$C$19, $C$13, 100%, $E$13)</f>
        <v>15.4482</v>
      </c>
      <c r="K871" s="61">
        <f>15.4484 * CHOOSE(CONTROL!$C$19, $C$13, 100%, $E$13)</f>
        <v>15.448399999999999</v>
      </c>
    </row>
    <row r="872" spans="1:11" ht="15">
      <c r="A872" s="13">
        <v>68393</v>
      </c>
      <c r="B872" s="60">
        <f>12.8566 * CHOOSE(CONTROL!$C$19, $C$13, 100%, $E$13)</f>
        <v>12.8566</v>
      </c>
      <c r="C872" s="60">
        <f>12.8566 * CHOOSE(CONTROL!$C$19, $C$13, 100%, $E$13)</f>
        <v>12.8566</v>
      </c>
      <c r="D872" s="60">
        <f>12.8718 * CHOOSE(CONTROL!$C$19, $C$13, 100%, $E$13)</f>
        <v>12.8718</v>
      </c>
      <c r="E872" s="61">
        <f>15.6612 * CHOOSE(CONTROL!$C$19, $C$13, 100%, $E$13)</f>
        <v>15.661199999999999</v>
      </c>
      <c r="F872" s="61">
        <f>15.6612 * CHOOSE(CONTROL!$C$19, $C$13, 100%, $E$13)</f>
        <v>15.661199999999999</v>
      </c>
      <c r="G872" s="61">
        <f>15.6614 * CHOOSE(CONTROL!$C$19, $C$13, 100%, $E$13)</f>
        <v>15.6614</v>
      </c>
      <c r="H872" s="61">
        <f>21.4127* CHOOSE(CONTROL!$C$19, $C$13, 100%, $E$13)</f>
        <v>21.412700000000001</v>
      </c>
      <c r="I872" s="61">
        <f>21.4129 * CHOOSE(CONTROL!$C$19, $C$13, 100%, $E$13)</f>
        <v>21.4129</v>
      </c>
      <c r="J872" s="61">
        <f>15.6612 * CHOOSE(CONTROL!$C$19, $C$13, 100%, $E$13)</f>
        <v>15.661199999999999</v>
      </c>
      <c r="K872" s="61">
        <f>15.6614 * CHOOSE(CONTROL!$C$19, $C$13, 100%, $E$13)</f>
        <v>15.6614</v>
      </c>
    </row>
    <row r="873" spans="1:11" ht="15">
      <c r="A873" s="13">
        <v>68423</v>
      </c>
      <c r="B873" s="60">
        <f>12.8566 * CHOOSE(CONTROL!$C$19, $C$13, 100%, $E$13)</f>
        <v>12.8566</v>
      </c>
      <c r="C873" s="60">
        <f>12.8566 * CHOOSE(CONTROL!$C$19, $C$13, 100%, $E$13)</f>
        <v>12.8566</v>
      </c>
      <c r="D873" s="60">
        <f>12.887 * CHOOSE(CONTROL!$C$19, $C$13, 100%, $E$13)</f>
        <v>12.887</v>
      </c>
      <c r="E873" s="61">
        <f>15.7427 * CHOOSE(CONTROL!$C$19, $C$13, 100%, $E$13)</f>
        <v>15.742699999999999</v>
      </c>
      <c r="F873" s="61">
        <f>15.7427 * CHOOSE(CONTROL!$C$19, $C$13, 100%, $E$13)</f>
        <v>15.742699999999999</v>
      </c>
      <c r="G873" s="61">
        <f>15.7446 * CHOOSE(CONTROL!$C$19, $C$13, 100%, $E$13)</f>
        <v>15.7446</v>
      </c>
      <c r="H873" s="61">
        <f>21.4574* CHOOSE(CONTROL!$C$19, $C$13, 100%, $E$13)</f>
        <v>21.4574</v>
      </c>
      <c r="I873" s="61">
        <f>21.4593 * CHOOSE(CONTROL!$C$19, $C$13, 100%, $E$13)</f>
        <v>21.459299999999999</v>
      </c>
      <c r="J873" s="61">
        <f>15.7427 * CHOOSE(CONTROL!$C$19, $C$13, 100%, $E$13)</f>
        <v>15.742699999999999</v>
      </c>
      <c r="K873" s="61">
        <f>15.7446 * CHOOSE(CONTROL!$C$19, $C$13, 100%, $E$13)</f>
        <v>15.7446</v>
      </c>
    </row>
    <row r="874" spans="1:11" ht="15">
      <c r="A874" s="13">
        <v>68454</v>
      </c>
      <c r="B874" s="60">
        <f>12.8627 * CHOOSE(CONTROL!$C$19, $C$13, 100%, $E$13)</f>
        <v>12.8627</v>
      </c>
      <c r="C874" s="60">
        <f>12.8627 * CHOOSE(CONTROL!$C$19, $C$13, 100%, $E$13)</f>
        <v>12.8627</v>
      </c>
      <c r="D874" s="60">
        <f>12.893 * CHOOSE(CONTROL!$C$19, $C$13, 100%, $E$13)</f>
        <v>12.893000000000001</v>
      </c>
      <c r="E874" s="61">
        <f>15.6654 * CHOOSE(CONTROL!$C$19, $C$13, 100%, $E$13)</f>
        <v>15.6654</v>
      </c>
      <c r="F874" s="61">
        <f>15.6654 * CHOOSE(CONTROL!$C$19, $C$13, 100%, $E$13)</f>
        <v>15.6654</v>
      </c>
      <c r="G874" s="61">
        <f>15.6673 * CHOOSE(CONTROL!$C$19, $C$13, 100%, $E$13)</f>
        <v>15.667299999999999</v>
      </c>
      <c r="H874" s="61">
        <f>21.5021* CHOOSE(CONTROL!$C$19, $C$13, 100%, $E$13)</f>
        <v>21.502099999999999</v>
      </c>
      <c r="I874" s="61">
        <f>21.504 * CHOOSE(CONTROL!$C$19, $C$13, 100%, $E$13)</f>
        <v>21.504000000000001</v>
      </c>
      <c r="J874" s="61">
        <f>15.6654 * CHOOSE(CONTROL!$C$19, $C$13, 100%, $E$13)</f>
        <v>15.6654</v>
      </c>
      <c r="K874" s="61">
        <f>15.6673 * CHOOSE(CONTROL!$C$19, $C$13, 100%, $E$13)</f>
        <v>15.667299999999999</v>
      </c>
    </row>
    <row r="875" spans="1:11" ht="15">
      <c r="A875" s="13">
        <v>68484</v>
      </c>
      <c r="B875" s="60">
        <f>13.0408 * CHOOSE(CONTROL!$C$19, $C$13, 100%, $E$13)</f>
        <v>13.040800000000001</v>
      </c>
      <c r="C875" s="60">
        <f>13.0408 * CHOOSE(CONTROL!$C$19, $C$13, 100%, $E$13)</f>
        <v>13.040800000000001</v>
      </c>
      <c r="D875" s="60">
        <f>13.0712 * CHOOSE(CONTROL!$C$19, $C$13, 100%, $E$13)</f>
        <v>13.071199999999999</v>
      </c>
      <c r="E875" s="61">
        <f>15.9494 * CHOOSE(CONTROL!$C$19, $C$13, 100%, $E$13)</f>
        <v>15.949400000000001</v>
      </c>
      <c r="F875" s="61">
        <f>15.9494 * CHOOSE(CONTROL!$C$19, $C$13, 100%, $E$13)</f>
        <v>15.949400000000001</v>
      </c>
      <c r="G875" s="61">
        <f>15.9513 * CHOOSE(CONTROL!$C$19, $C$13, 100%, $E$13)</f>
        <v>15.9513</v>
      </c>
      <c r="H875" s="61">
        <f>21.5469* CHOOSE(CONTROL!$C$19, $C$13, 100%, $E$13)</f>
        <v>21.546900000000001</v>
      </c>
      <c r="I875" s="61">
        <f>21.5488 * CHOOSE(CONTROL!$C$19, $C$13, 100%, $E$13)</f>
        <v>21.5488</v>
      </c>
      <c r="J875" s="61">
        <f>15.9494 * CHOOSE(CONTROL!$C$19, $C$13, 100%, $E$13)</f>
        <v>15.949400000000001</v>
      </c>
      <c r="K875" s="61">
        <f>15.9513 * CHOOSE(CONTROL!$C$19, $C$13, 100%, $E$13)</f>
        <v>15.9513</v>
      </c>
    </row>
    <row r="876" spans="1:11" ht="15">
      <c r="A876" s="13">
        <v>68515</v>
      </c>
      <c r="B876" s="60">
        <f>13.0475 * CHOOSE(CONTROL!$C$19, $C$13, 100%, $E$13)</f>
        <v>13.047499999999999</v>
      </c>
      <c r="C876" s="60">
        <f>13.0475 * CHOOSE(CONTROL!$C$19, $C$13, 100%, $E$13)</f>
        <v>13.047499999999999</v>
      </c>
      <c r="D876" s="60">
        <f>13.0779 * CHOOSE(CONTROL!$C$19, $C$13, 100%, $E$13)</f>
        <v>13.0779</v>
      </c>
      <c r="E876" s="61">
        <f>15.7096 * CHOOSE(CONTROL!$C$19, $C$13, 100%, $E$13)</f>
        <v>15.7096</v>
      </c>
      <c r="F876" s="61">
        <f>15.7096 * CHOOSE(CONTROL!$C$19, $C$13, 100%, $E$13)</f>
        <v>15.7096</v>
      </c>
      <c r="G876" s="61">
        <f>15.7115 * CHOOSE(CONTROL!$C$19, $C$13, 100%, $E$13)</f>
        <v>15.711499999999999</v>
      </c>
      <c r="H876" s="61">
        <f>21.5917* CHOOSE(CONTROL!$C$19, $C$13, 100%, $E$13)</f>
        <v>21.591699999999999</v>
      </c>
      <c r="I876" s="61">
        <f>21.5936 * CHOOSE(CONTROL!$C$19, $C$13, 100%, $E$13)</f>
        <v>21.593599999999999</v>
      </c>
      <c r="J876" s="61">
        <f>15.7096 * CHOOSE(CONTROL!$C$19, $C$13, 100%, $E$13)</f>
        <v>15.7096</v>
      </c>
      <c r="K876" s="61">
        <f>15.7115 * CHOOSE(CONTROL!$C$19, $C$13, 100%, $E$13)</f>
        <v>15.711499999999999</v>
      </c>
    </row>
    <row r="877" spans="1:11" ht="15">
      <c r="A877" s="13">
        <v>68546</v>
      </c>
      <c r="B877" s="60">
        <f>13.0445 * CHOOSE(CONTROL!$C$19, $C$13, 100%, $E$13)</f>
        <v>13.044499999999999</v>
      </c>
      <c r="C877" s="60">
        <f>13.0445 * CHOOSE(CONTROL!$C$19, $C$13, 100%, $E$13)</f>
        <v>13.044499999999999</v>
      </c>
      <c r="D877" s="60">
        <f>13.0749 * CHOOSE(CONTROL!$C$19, $C$13, 100%, $E$13)</f>
        <v>13.0749</v>
      </c>
      <c r="E877" s="61">
        <f>15.6803 * CHOOSE(CONTROL!$C$19, $C$13, 100%, $E$13)</f>
        <v>15.680300000000001</v>
      </c>
      <c r="F877" s="61">
        <f>15.6803 * CHOOSE(CONTROL!$C$19, $C$13, 100%, $E$13)</f>
        <v>15.680300000000001</v>
      </c>
      <c r="G877" s="61">
        <f>15.6822 * CHOOSE(CONTROL!$C$19, $C$13, 100%, $E$13)</f>
        <v>15.6822</v>
      </c>
      <c r="H877" s="61">
        <f>21.6367* CHOOSE(CONTROL!$C$19, $C$13, 100%, $E$13)</f>
        <v>21.636700000000001</v>
      </c>
      <c r="I877" s="61">
        <f>21.6386 * CHOOSE(CONTROL!$C$19, $C$13, 100%, $E$13)</f>
        <v>21.6386</v>
      </c>
      <c r="J877" s="61">
        <f>15.6803 * CHOOSE(CONTROL!$C$19, $C$13, 100%, $E$13)</f>
        <v>15.680300000000001</v>
      </c>
      <c r="K877" s="61">
        <f>15.6822 * CHOOSE(CONTROL!$C$19, $C$13, 100%, $E$13)</f>
        <v>15.6822</v>
      </c>
    </row>
    <row r="878" spans="1:11" ht="15">
      <c r="A878" s="13">
        <v>68576</v>
      </c>
      <c r="B878" s="60">
        <f>13.0739 * CHOOSE(CONTROL!$C$19, $C$13, 100%, $E$13)</f>
        <v>13.0739</v>
      </c>
      <c r="C878" s="60">
        <f>13.0739 * CHOOSE(CONTROL!$C$19, $C$13, 100%, $E$13)</f>
        <v>13.0739</v>
      </c>
      <c r="D878" s="60">
        <f>13.0891 * CHOOSE(CONTROL!$C$19, $C$13, 100%, $E$13)</f>
        <v>13.0891</v>
      </c>
      <c r="E878" s="61">
        <f>15.7755 * CHOOSE(CONTROL!$C$19, $C$13, 100%, $E$13)</f>
        <v>15.775499999999999</v>
      </c>
      <c r="F878" s="61">
        <f>15.7755 * CHOOSE(CONTROL!$C$19, $C$13, 100%, $E$13)</f>
        <v>15.775499999999999</v>
      </c>
      <c r="G878" s="61">
        <f>15.7757 * CHOOSE(CONTROL!$C$19, $C$13, 100%, $E$13)</f>
        <v>15.775700000000001</v>
      </c>
      <c r="H878" s="61">
        <f>21.6818* CHOOSE(CONTROL!$C$19, $C$13, 100%, $E$13)</f>
        <v>21.681799999999999</v>
      </c>
      <c r="I878" s="61">
        <f>21.682 * CHOOSE(CONTROL!$C$19, $C$13, 100%, $E$13)</f>
        <v>21.681999999999999</v>
      </c>
      <c r="J878" s="61">
        <f>15.7755 * CHOOSE(CONTROL!$C$19, $C$13, 100%, $E$13)</f>
        <v>15.775499999999999</v>
      </c>
      <c r="K878" s="61">
        <f>15.7757 * CHOOSE(CONTROL!$C$19, $C$13, 100%, $E$13)</f>
        <v>15.775700000000001</v>
      </c>
    </row>
    <row r="879" spans="1:11" ht="15">
      <c r="A879" s="13">
        <v>68607</v>
      </c>
      <c r="B879" s="60">
        <f>13.0769 * CHOOSE(CONTROL!$C$19, $C$13, 100%, $E$13)</f>
        <v>13.0769</v>
      </c>
      <c r="C879" s="60">
        <f>13.0769 * CHOOSE(CONTROL!$C$19, $C$13, 100%, $E$13)</f>
        <v>13.0769</v>
      </c>
      <c r="D879" s="60">
        <f>13.0921 * CHOOSE(CONTROL!$C$19, $C$13, 100%, $E$13)</f>
        <v>13.0921</v>
      </c>
      <c r="E879" s="61">
        <f>15.832 * CHOOSE(CONTROL!$C$19, $C$13, 100%, $E$13)</f>
        <v>15.832000000000001</v>
      </c>
      <c r="F879" s="61">
        <f>15.832 * CHOOSE(CONTROL!$C$19, $C$13, 100%, $E$13)</f>
        <v>15.832000000000001</v>
      </c>
      <c r="G879" s="61">
        <f>15.8322 * CHOOSE(CONTROL!$C$19, $C$13, 100%, $E$13)</f>
        <v>15.8322</v>
      </c>
      <c r="H879" s="61">
        <f>21.727* CHOOSE(CONTROL!$C$19, $C$13, 100%, $E$13)</f>
        <v>21.727</v>
      </c>
      <c r="I879" s="61">
        <f>21.7272 * CHOOSE(CONTROL!$C$19, $C$13, 100%, $E$13)</f>
        <v>21.7272</v>
      </c>
      <c r="J879" s="61">
        <f>15.832 * CHOOSE(CONTROL!$C$19, $C$13, 100%, $E$13)</f>
        <v>15.832000000000001</v>
      </c>
      <c r="K879" s="61">
        <f>15.8322 * CHOOSE(CONTROL!$C$19, $C$13, 100%, $E$13)</f>
        <v>15.8322</v>
      </c>
    </row>
    <row r="880" spans="1:11" ht="15">
      <c r="A880" s="13">
        <v>68637</v>
      </c>
      <c r="B880" s="60">
        <f>13.0769 * CHOOSE(CONTROL!$C$19, $C$13, 100%, $E$13)</f>
        <v>13.0769</v>
      </c>
      <c r="C880" s="60">
        <f>13.0769 * CHOOSE(CONTROL!$C$19, $C$13, 100%, $E$13)</f>
        <v>13.0769</v>
      </c>
      <c r="D880" s="60">
        <f>13.0921 * CHOOSE(CONTROL!$C$19, $C$13, 100%, $E$13)</f>
        <v>13.0921</v>
      </c>
      <c r="E880" s="61">
        <f>15.6962 * CHOOSE(CONTROL!$C$19, $C$13, 100%, $E$13)</f>
        <v>15.696199999999999</v>
      </c>
      <c r="F880" s="61">
        <f>15.6962 * CHOOSE(CONTROL!$C$19, $C$13, 100%, $E$13)</f>
        <v>15.696199999999999</v>
      </c>
      <c r="G880" s="61">
        <f>15.6964 * CHOOSE(CONTROL!$C$19, $C$13, 100%, $E$13)</f>
        <v>15.696400000000001</v>
      </c>
      <c r="H880" s="61">
        <f>21.7722* CHOOSE(CONTROL!$C$19, $C$13, 100%, $E$13)</f>
        <v>21.772200000000002</v>
      </c>
      <c r="I880" s="61">
        <f>21.7724 * CHOOSE(CONTROL!$C$19, $C$13, 100%, $E$13)</f>
        <v>21.772400000000001</v>
      </c>
      <c r="J880" s="61">
        <f>15.6962 * CHOOSE(CONTROL!$C$19, $C$13, 100%, $E$13)</f>
        <v>15.696199999999999</v>
      </c>
      <c r="K880" s="61">
        <f>15.6964 * CHOOSE(CONTROL!$C$19, $C$13, 100%, $E$13)</f>
        <v>15.696400000000001</v>
      </c>
    </row>
    <row r="881" spans="1:11" ht="15">
      <c r="A881" s="13">
        <v>68668</v>
      </c>
      <c r="B881" s="60">
        <f>13.0529 * CHOOSE(CONTROL!$C$19, $C$13, 100%, $E$13)</f>
        <v>13.052899999999999</v>
      </c>
      <c r="C881" s="60">
        <f>13.0529 * CHOOSE(CONTROL!$C$19, $C$13, 100%, $E$13)</f>
        <v>13.052899999999999</v>
      </c>
      <c r="D881" s="60">
        <f>13.0681 * CHOOSE(CONTROL!$C$19, $C$13, 100%, $E$13)</f>
        <v>13.068099999999999</v>
      </c>
      <c r="E881" s="61">
        <f>15.7586 * CHOOSE(CONTROL!$C$19, $C$13, 100%, $E$13)</f>
        <v>15.758599999999999</v>
      </c>
      <c r="F881" s="61">
        <f>15.7586 * CHOOSE(CONTROL!$C$19, $C$13, 100%, $E$13)</f>
        <v>15.758599999999999</v>
      </c>
      <c r="G881" s="61">
        <f>15.7587 * CHOOSE(CONTROL!$C$19, $C$13, 100%, $E$13)</f>
        <v>15.758699999999999</v>
      </c>
      <c r="H881" s="61">
        <f>21.6041* CHOOSE(CONTROL!$C$19, $C$13, 100%, $E$13)</f>
        <v>21.604099999999999</v>
      </c>
      <c r="I881" s="61">
        <f>21.6043 * CHOOSE(CONTROL!$C$19, $C$13, 100%, $E$13)</f>
        <v>21.604299999999999</v>
      </c>
      <c r="J881" s="61">
        <f>15.7586 * CHOOSE(CONTROL!$C$19, $C$13, 100%, $E$13)</f>
        <v>15.758599999999999</v>
      </c>
      <c r="K881" s="61">
        <f>15.7587 * CHOOSE(CONTROL!$C$19, $C$13, 100%, $E$13)</f>
        <v>15.758699999999999</v>
      </c>
    </row>
    <row r="882" spans="1:11" ht="15">
      <c r="A882" s="13">
        <v>68699</v>
      </c>
      <c r="B882" s="60">
        <f>13.0499 * CHOOSE(CONTROL!$C$19, $C$13, 100%, $E$13)</f>
        <v>13.049899999999999</v>
      </c>
      <c r="C882" s="60">
        <f>13.0499 * CHOOSE(CONTROL!$C$19, $C$13, 100%, $E$13)</f>
        <v>13.049899999999999</v>
      </c>
      <c r="D882" s="60">
        <f>13.0651 * CHOOSE(CONTROL!$C$19, $C$13, 100%, $E$13)</f>
        <v>13.065099999999999</v>
      </c>
      <c r="E882" s="61">
        <f>15.4954 * CHOOSE(CONTROL!$C$19, $C$13, 100%, $E$13)</f>
        <v>15.4954</v>
      </c>
      <c r="F882" s="61">
        <f>15.4954 * CHOOSE(CONTROL!$C$19, $C$13, 100%, $E$13)</f>
        <v>15.4954</v>
      </c>
      <c r="G882" s="61">
        <f>15.4955 * CHOOSE(CONTROL!$C$19, $C$13, 100%, $E$13)</f>
        <v>15.4955</v>
      </c>
      <c r="H882" s="61">
        <f>21.6491* CHOOSE(CONTROL!$C$19, $C$13, 100%, $E$13)</f>
        <v>21.649100000000001</v>
      </c>
      <c r="I882" s="61">
        <f>21.6493 * CHOOSE(CONTROL!$C$19, $C$13, 100%, $E$13)</f>
        <v>21.6493</v>
      </c>
      <c r="J882" s="61">
        <f>15.4954 * CHOOSE(CONTROL!$C$19, $C$13, 100%, $E$13)</f>
        <v>15.4954</v>
      </c>
      <c r="K882" s="61">
        <f>15.4955 * CHOOSE(CONTROL!$C$19, $C$13, 100%, $E$13)</f>
        <v>15.4955</v>
      </c>
    </row>
    <row r="883" spans="1:11" ht="15">
      <c r="A883" s="13">
        <v>68728</v>
      </c>
      <c r="B883" s="60">
        <f>13.0468 * CHOOSE(CONTROL!$C$19, $C$13, 100%, $E$13)</f>
        <v>13.046799999999999</v>
      </c>
      <c r="C883" s="60">
        <f>13.0468 * CHOOSE(CONTROL!$C$19, $C$13, 100%, $E$13)</f>
        <v>13.046799999999999</v>
      </c>
      <c r="D883" s="60">
        <f>13.062 * CHOOSE(CONTROL!$C$19, $C$13, 100%, $E$13)</f>
        <v>13.061999999999999</v>
      </c>
      <c r="E883" s="61">
        <f>15.6991 * CHOOSE(CONTROL!$C$19, $C$13, 100%, $E$13)</f>
        <v>15.6991</v>
      </c>
      <c r="F883" s="61">
        <f>15.6991 * CHOOSE(CONTROL!$C$19, $C$13, 100%, $E$13)</f>
        <v>15.6991</v>
      </c>
      <c r="G883" s="61">
        <f>15.6992 * CHOOSE(CONTROL!$C$19, $C$13, 100%, $E$13)</f>
        <v>15.699199999999999</v>
      </c>
      <c r="H883" s="61">
        <f>21.6942* CHOOSE(CONTROL!$C$19, $C$13, 100%, $E$13)</f>
        <v>21.694199999999999</v>
      </c>
      <c r="I883" s="61">
        <f>21.6944 * CHOOSE(CONTROL!$C$19, $C$13, 100%, $E$13)</f>
        <v>21.694400000000002</v>
      </c>
      <c r="J883" s="61">
        <f>15.6991 * CHOOSE(CONTROL!$C$19, $C$13, 100%, $E$13)</f>
        <v>15.6991</v>
      </c>
      <c r="K883" s="61">
        <f>15.6992 * CHOOSE(CONTROL!$C$19, $C$13, 100%, $E$13)</f>
        <v>15.699199999999999</v>
      </c>
    </row>
    <row r="884" spans="1:11" ht="15">
      <c r="A884" s="13">
        <v>68759</v>
      </c>
      <c r="B884" s="60">
        <f>13.0534 * CHOOSE(CONTROL!$C$19, $C$13, 100%, $E$13)</f>
        <v>13.0534</v>
      </c>
      <c r="C884" s="60">
        <f>13.0534 * CHOOSE(CONTROL!$C$19, $C$13, 100%, $E$13)</f>
        <v>13.0534</v>
      </c>
      <c r="D884" s="60">
        <f>13.0686 * CHOOSE(CONTROL!$C$19, $C$13, 100%, $E$13)</f>
        <v>13.0686</v>
      </c>
      <c r="E884" s="61">
        <f>15.9159 * CHOOSE(CONTROL!$C$19, $C$13, 100%, $E$13)</f>
        <v>15.915900000000001</v>
      </c>
      <c r="F884" s="61">
        <f>15.9159 * CHOOSE(CONTROL!$C$19, $C$13, 100%, $E$13)</f>
        <v>15.915900000000001</v>
      </c>
      <c r="G884" s="61">
        <f>15.9161 * CHOOSE(CONTROL!$C$19, $C$13, 100%, $E$13)</f>
        <v>15.9161</v>
      </c>
      <c r="H884" s="61">
        <f>21.7394* CHOOSE(CONTROL!$C$19, $C$13, 100%, $E$13)</f>
        <v>21.7394</v>
      </c>
      <c r="I884" s="61">
        <f>21.7396 * CHOOSE(CONTROL!$C$19, $C$13, 100%, $E$13)</f>
        <v>21.739599999999999</v>
      </c>
      <c r="J884" s="61">
        <f>15.9159 * CHOOSE(CONTROL!$C$19, $C$13, 100%, $E$13)</f>
        <v>15.915900000000001</v>
      </c>
      <c r="K884" s="61">
        <f>15.9161 * CHOOSE(CONTROL!$C$19, $C$13, 100%, $E$13)</f>
        <v>15.9161</v>
      </c>
    </row>
    <row r="885" spans="1:11" ht="15">
      <c r="A885" s="13">
        <v>68789</v>
      </c>
      <c r="B885" s="60">
        <f>13.0534 * CHOOSE(CONTROL!$C$19, $C$13, 100%, $E$13)</f>
        <v>13.0534</v>
      </c>
      <c r="C885" s="60">
        <f>13.0534 * CHOOSE(CONTROL!$C$19, $C$13, 100%, $E$13)</f>
        <v>13.0534</v>
      </c>
      <c r="D885" s="60">
        <f>13.0838 * CHOOSE(CONTROL!$C$19, $C$13, 100%, $E$13)</f>
        <v>13.0838</v>
      </c>
      <c r="E885" s="61">
        <f>15.9988 * CHOOSE(CONTROL!$C$19, $C$13, 100%, $E$13)</f>
        <v>15.998799999999999</v>
      </c>
      <c r="F885" s="61">
        <f>15.9988 * CHOOSE(CONTROL!$C$19, $C$13, 100%, $E$13)</f>
        <v>15.998799999999999</v>
      </c>
      <c r="G885" s="61">
        <f>16.0007 * CHOOSE(CONTROL!$C$19, $C$13, 100%, $E$13)</f>
        <v>16.000699999999998</v>
      </c>
      <c r="H885" s="61">
        <f>21.7847* CHOOSE(CONTROL!$C$19, $C$13, 100%, $E$13)</f>
        <v>21.784700000000001</v>
      </c>
      <c r="I885" s="61">
        <f>21.7866 * CHOOSE(CONTROL!$C$19, $C$13, 100%, $E$13)</f>
        <v>21.7866</v>
      </c>
      <c r="J885" s="61">
        <f>15.9988 * CHOOSE(CONTROL!$C$19, $C$13, 100%, $E$13)</f>
        <v>15.998799999999999</v>
      </c>
      <c r="K885" s="61">
        <f>16.0007 * CHOOSE(CONTROL!$C$19, $C$13, 100%, $E$13)</f>
        <v>16.000699999999998</v>
      </c>
    </row>
    <row r="886" spans="1:11" ht="15">
      <c r="A886" s="13">
        <v>68820</v>
      </c>
      <c r="B886" s="60">
        <f>13.0595 * CHOOSE(CONTROL!$C$19, $C$13, 100%, $E$13)</f>
        <v>13.0595</v>
      </c>
      <c r="C886" s="60">
        <f>13.0595 * CHOOSE(CONTROL!$C$19, $C$13, 100%, $E$13)</f>
        <v>13.0595</v>
      </c>
      <c r="D886" s="60">
        <f>13.0899 * CHOOSE(CONTROL!$C$19, $C$13, 100%, $E$13)</f>
        <v>13.0899</v>
      </c>
      <c r="E886" s="61">
        <f>15.9201 * CHOOSE(CONTROL!$C$19, $C$13, 100%, $E$13)</f>
        <v>15.9201</v>
      </c>
      <c r="F886" s="61">
        <f>15.9201 * CHOOSE(CONTROL!$C$19, $C$13, 100%, $E$13)</f>
        <v>15.9201</v>
      </c>
      <c r="G886" s="61">
        <f>15.922 * CHOOSE(CONTROL!$C$19, $C$13, 100%, $E$13)</f>
        <v>15.922000000000001</v>
      </c>
      <c r="H886" s="61">
        <f>21.8301* CHOOSE(CONTROL!$C$19, $C$13, 100%, $E$13)</f>
        <v>21.830100000000002</v>
      </c>
      <c r="I886" s="61">
        <f>21.832 * CHOOSE(CONTROL!$C$19, $C$13, 100%, $E$13)</f>
        <v>21.832000000000001</v>
      </c>
      <c r="J886" s="61">
        <f>15.9201 * CHOOSE(CONTROL!$C$19, $C$13, 100%, $E$13)</f>
        <v>15.9201</v>
      </c>
      <c r="K886" s="61">
        <f>15.922 * CHOOSE(CONTROL!$C$19, $C$13, 100%, $E$13)</f>
        <v>15.922000000000001</v>
      </c>
    </row>
    <row r="887" spans="1:11" ht="15">
      <c r="A887" s="13">
        <v>68850</v>
      </c>
      <c r="B887" s="60">
        <f>13.2402 * CHOOSE(CONTROL!$C$19, $C$13, 100%, $E$13)</f>
        <v>13.2402</v>
      </c>
      <c r="C887" s="60">
        <f>13.2402 * CHOOSE(CONTROL!$C$19, $C$13, 100%, $E$13)</f>
        <v>13.2402</v>
      </c>
      <c r="D887" s="60">
        <f>13.2705 * CHOOSE(CONTROL!$C$19, $C$13, 100%, $E$13)</f>
        <v>13.2705</v>
      </c>
      <c r="E887" s="61">
        <f>16.2085 * CHOOSE(CONTROL!$C$19, $C$13, 100%, $E$13)</f>
        <v>16.208500000000001</v>
      </c>
      <c r="F887" s="61">
        <f>16.2085 * CHOOSE(CONTROL!$C$19, $C$13, 100%, $E$13)</f>
        <v>16.208500000000001</v>
      </c>
      <c r="G887" s="61">
        <f>16.2104 * CHOOSE(CONTROL!$C$19, $C$13, 100%, $E$13)</f>
        <v>16.2104</v>
      </c>
      <c r="H887" s="61">
        <f>21.8756* CHOOSE(CONTROL!$C$19, $C$13, 100%, $E$13)</f>
        <v>21.875599999999999</v>
      </c>
      <c r="I887" s="61">
        <f>21.8775 * CHOOSE(CONTROL!$C$19, $C$13, 100%, $E$13)</f>
        <v>21.877500000000001</v>
      </c>
      <c r="J887" s="61">
        <f>16.2085 * CHOOSE(CONTROL!$C$19, $C$13, 100%, $E$13)</f>
        <v>16.208500000000001</v>
      </c>
      <c r="K887" s="61">
        <f>16.2104 * CHOOSE(CONTROL!$C$19, $C$13, 100%, $E$13)</f>
        <v>16.2104</v>
      </c>
    </row>
    <row r="888" spans="1:11" ht="15">
      <c r="A888" s="13">
        <v>68881</v>
      </c>
      <c r="B888" s="60">
        <f>13.2468 * CHOOSE(CONTROL!$C$19, $C$13, 100%, $E$13)</f>
        <v>13.2468</v>
      </c>
      <c r="C888" s="60">
        <f>13.2468 * CHOOSE(CONTROL!$C$19, $C$13, 100%, $E$13)</f>
        <v>13.2468</v>
      </c>
      <c r="D888" s="60">
        <f>13.2772 * CHOOSE(CONTROL!$C$19, $C$13, 100%, $E$13)</f>
        <v>13.277200000000001</v>
      </c>
      <c r="E888" s="61">
        <f>15.9645 * CHOOSE(CONTROL!$C$19, $C$13, 100%, $E$13)</f>
        <v>15.964499999999999</v>
      </c>
      <c r="F888" s="61">
        <f>15.9645 * CHOOSE(CONTROL!$C$19, $C$13, 100%, $E$13)</f>
        <v>15.964499999999999</v>
      </c>
      <c r="G888" s="61">
        <f>15.9664 * CHOOSE(CONTROL!$C$19, $C$13, 100%, $E$13)</f>
        <v>15.9664</v>
      </c>
      <c r="H888" s="61">
        <f>21.9212* CHOOSE(CONTROL!$C$19, $C$13, 100%, $E$13)</f>
        <v>21.921199999999999</v>
      </c>
      <c r="I888" s="61">
        <f>21.9231 * CHOOSE(CONTROL!$C$19, $C$13, 100%, $E$13)</f>
        <v>21.923100000000002</v>
      </c>
      <c r="J888" s="61">
        <f>15.9645 * CHOOSE(CONTROL!$C$19, $C$13, 100%, $E$13)</f>
        <v>15.964499999999999</v>
      </c>
      <c r="K888" s="61">
        <f>15.9664 * CHOOSE(CONTROL!$C$19, $C$13, 100%, $E$13)</f>
        <v>15.9664</v>
      </c>
    </row>
    <row r="889" spans="1:11" ht="15">
      <c r="A889" s="13">
        <v>68912</v>
      </c>
      <c r="B889" s="60">
        <f>13.2438 * CHOOSE(CONTROL!$C$19, $C$13, 100%, $E$13)</f>
        <v>13.2438</v>
      </c>
      <c r="C889" s="60">
        <f>13.2438 * CHOOSE(CONTROL!$C$19, $C$13, 100%, $E$13)</f>
        <v>13.2438</v>
      </c>
      <c r="D889" s="60">
        <f>13.2742 * CHOOSE(CONTROL!$C$19, $C$13, 100%, $E$13)</f>
        <v>13.2742</v>
      </c>
      <c r="E889" s="61">
        <f>15.9347 * CHOOSE(CONTROL!$C$19, $C$13, 100%, $E$13)</f>
        <v>15.934699999999999</v>
      </c>
      <c r="F889" s="61">
        <f>15.9347 * CHOOSE(CONTROL!$C$19, $C$13, 100%, $E$13)</f>
        <v>15.934699999999999</v>
      </c>
      <c r="G889" s="61">
        <f>15.9366 * CHOOSE(CONTROL!$C$19, $C$13, 100%, $E$13)</f>
        <v>15.9366</v>
      </c>
      <c r="H889" s="61">
        <f>21.9668* CHOOSE(CONTROL!$C$19, $C$13, 100%, $E$13)</f>
        <v>21.966799999999999</v>
      </c>
      <c r="I889" s="61">
        <f>21.9687 * CHOOSE(CONTROL!$C$19, $C$13, 100%, $E$13)</f>
        <v>21.968699999999998</v>
      </c>
      <c r="J889" s="61">
        <f>15.9347 * CHOOSE(CONTROL!$C$19, $C$13, 100%, $E$13)</f>
        <v>15.934699999999999</v>
      </c>
      <c r="K889" s="61">
        <f>15.9366 * CHOOSE(CONTROL!$C$19, $C$13, 100%, $E$13)</f>
        <v>15.9366</v>
      </c>
    </row>
    <row r="890" spans="1:11" ht="15">
      <c r="A890" s="13">
        <v>68942</v>
      </c>
      <c r="B890" s="60">
        <f>13.274 * CHOOSE(CONTROL!$C$19, $C$13, 100%, $E$13)</f>
        <v>13.273999999999999</v>
      </c>
      <c r="C890" s="60">
        <f>13.274 * CHOOSE(CONTROL!$C$19, $C$13, 100%, $E$13)</f>
        <v>13.273999999999999</v>
      </c>
      <c r="D890" s="60">
        <f>13.2892 * CHOOSE(CONTROL!$C$19, $C$13, 100%, $E$13)</f>
        <v>13.289199999999999</v>
      </c>
      <c r="E890" s="61">
        <f>16.0318 * CHOOSE(CONTROL!$C$19, $C$13, 100%, $E$13)</f>
        <v>16.0318</v>
      </c>
      <c r="F890" s="61">
        <f>16.0318 * CHOOSE(CONTROL!$C$19, $C$13, 100%, $E$13)</f>
        <v>16.0318</v>
      </c>
      <c r="G890" s="61">
        <f>16.032 * CHOOSE(CONTROL!$C$19, $C$13, 100%, $E$13)</f>
        <v>16.032</v>
      </c>
      <c r="H890" s="61">
        <f>22.0126* CHOOSE(CONTROL!$C$19, $C$13, 100%, $E$13)</f>
        <v>22.012599999999999</v>
      </c>
      <c r="I890" s="61">
        <f>22.0128 * CHOOSE(CONTROL!$C$19, $C$13, 100%, $E$13)</f>
        <v>22.012799999999999</v>
      </c>
      <c r="J890" s="61">
        <f>16.0318 * CHOOSE(CONTROL!$C$19, $C$13, 100%, $E$13)</f>
        <v>16.0318</v>
      </c>
      <c r="K890" s="61">
        <f>16.032 * CHOOSE(CONTROL!$C$19, $C$13, 100%, $E$13)</f>
        <v>16.032</v>
      </c>
    </row>
    <row r="891" spans="1:11" ht="15">
      <c r="A891" s="13">
        <v>68973</v>
      </c>
      <c r="B891" s="60">
        <f>13.277 * CHOOSE(CONTROL!$C$19, $C$13, 100%, $E$13)</f>
        <v>13.276999999999999</v>
      </c>
      <c r="C891" s="60">
        <f>13.277 * CHOOSE(CONTROL!$C$19, $C$13, 100%, $E$13)</f>
        <v>13.276999999999999</v>
      </c>
      <c r="D891" s="60">
        <f>13.2922 * CHOOSE(CONTROL!$C$19, $C$13, 100%, $E$13)</f>
        <v>13.292199999999999</v>
      </c>
      <c r="E891" s="61">
        <f>16.0892 * CHOOSE(CONTROL!$C$19, $C$13, 100%, $E$13)</f>
        <v>16.089200000000002</v>
      </c>
      <c r="F891" s="61">
        <f>16.0892 * CHOOSE(CONTROL!$C$19, $C$13, 100%, $E$13)</f>
        <v>16.089200000000002</v>
      </c>
      <c r="G891" s="61">
        <f>16.0894 * CHOOSE(CONTROL!$C$19, $C$13, 100%, $E$13)</f>
        <v>16.089400000000001</v>
      </c>
      <c r="H891" s="61">
        <f>22.0585* CHOOSE(CONTROL!$C$19, $C$13, 100%, $E$13)</f>
        <v>22.058499999999999</v>
      </c>
      <c r="I891" s="61">
        <f>22.0586 * CHOOSE(CONTROL!$C$19, $C$13, 100%, $E$13)</f>
        <v>22.058599999999998</v>
      </c>
      <c r="J891" s="61">
        <f>16.0892 * CHOOSE(CONTROL!$C$19, $C$13, 100%, $E$13)</f>
        <v>16.089200000000002</v>
      </c>
      <c r="K891" s="61">
        <f>16.0894 * CHOOSE(CONTROL!$C$19, $C$13, 100%, $E$13)</f>
        <v>16.089400000000001</v>
      </c>
    </row>
    <row r="892" spans="1:11" ht="15">
      <c r="A892" s="13">
        <v>69003</v>
      </c>
      <c r="B892" s="60">
        <f>13.277 * CHOOSE(CONTROL!$C$19, $C$13, 100%, $E$13)</f>
        <v>13.276999999999999</v>
      </c>
      <c r="C892" s="60">
        <f>13.277 * CHOOSE(CONTROL!$C$19, $C$13, 100%, $E$13)</f>
        <v>13.276999999999999</v>
      </c>
      <c r="D892" s="60">
        <f>13.2922 * CHOOSE(CONTROL!$C$19, $C$13, 100%, $E$13)</f>
        <v>13.292199999999999</v>
      </c>
      <c r="E892" s="61">
        <f>15.951 * CHOOSE(CONTROL!$C$19, $C$13, 100%, $E$13)</f>
        <v>15.951000000000001</v>
      </c>
      <c r="F892" s="61">
        <f>15.951 * CHOOSE(CONTROL!$C$19, $C$13, 100%, $E$13)</f>
        <v>15.951000000000001</v>
      </c>
      <c r="G892" s="61">
        <f>15.9512 * CHOOSE(CONTROL!$C$19, $C$13, 100%, $E$13)</f>
        <v>15.9512</v>
      </c>
      <c r="H892" s="61">
        <f>22.1044* CHOOSE(CONTROL!$C$19, $C$13, 100%, $E$13)</f>
        <v>22.104399999999998</v>
      </c>
      <c r="I892" s="61">
        <f>22.1046 * CHOOSE(CONTROL!$C$19, $C$13, 100%, $E$13)</f>
        <v>22.104600000000001</v>
      </c>
      <c r="J892" s="61">
        <f>15.951 * CHOOSE(CONTROL!$C$19, $C$13, 100%, $E$13)</f>
        <v>15.951000000000001</v>
      </c>
      <c r="K892" s="61">
        <f>15.9512 * CHOOSE(CONTROL!$C$19, $C$13, 100%, $E$13)</f>
        <v>15.9512</v>
      </c>
    </row>
    <row r="893" spans="1:11" ht="15">
      <c r="A893" s="13">
        <v>69034</v>
      </c>
      <c r="B893" s="60">
        <f>13.2495 * CHOOSE(CONTROL!$C$19, $C$13, 100%, $E$13)</f>
        <v>13.249499999999999</v>
      </c>
      <c r="C893" s="60">
        <f>13.2495 * CHOOSE(CONTROL!$C$19, $C$13, 100%, $E$13)</f>
        <v>13.249499999999999</v>
      </c>
      <c r="D893" s="60">
        <f>13.2647 * CHOOSE(CONTROL!$C$19, $C$13, 100%, $E$13)</f>
        <v>13.264699999999999</v>
      </c>
      <c r="E893" s="61">
        <f>16.0104 * CHOOSE(CONTROL!$C$19, $C$13, 100%, $E$13)</f>
        <v>16.010400000000001</v>
      </c>
      <c r="F893" s="61">
        <f>16.0104 * CHOOSE(CONTROL!$C$19, $C$13, 100%, $E$13)</f>
        <v>16.010400000000001</v>
      </c>
      <c r="G893" s="61">
        <f>16.0106 * CHOOSE(CONTROL!$C$19, $C$13, 100%, $E$13)</f>
        <v>16.0106</v>
      </c>
      <c r="H893" s="61">
        <f>21.9288* CHOOSE(CONTROL!$C$19, $C$13, 100%, $E$13)</f>
        <v>21.928799999999999</v>
      </c>
      <c r="I893" s="61">
        <f>21.929 * CHOOSE(CONTROL!$C$19, $C$13, 100%, $E$13)</f>
        <v>21.928999999999998</v>
      </c>
      <c r="J893" s="61">
        <f>16.0104 * CHOOSE(CONTROL!$C$19, $C$13, 100%, $E$13)</f>
        <v>16.010400000000001</v>
      </c>
      <c r="K893" s="61">
        <f>16.0106 * CHOOSE(CONTROL!$C$19, $C$13, 100%, $E$13)</f>
        <v>16.0106</v>
      </c>
    </row>
    <row r="894" spans="1:11" ht="15">
      <c r="A894" s="13">
        <v>69065</v>
      </c>
      <c r="B894" s="60">
        <f>13.2465 * CHOOSE(CONTROL!$C$19, $C$13, 100%, $E$13)</f>
        <v>13.246499999999999</v>
      </c>
      <c r="C894" s="60">
        <f>13.2465 * CHOOSE(CONTROL!$C$19, $C$13, 100%, $E$13)</f>
        <v>13.246499999999999</v>
      </c>
      <c r="D894" s="60">
        <f>13.2617 * CHOOSE(CONTROL!$C$19, $C$13, 100%, $E$13)</f>
        <v>13.261699999999999</v>
      </c>
      <c r="E894" s="61">
        <f>15.7427 * CHOOSE(CONTROL!$C$19, $C$13, 100%, $E$13)</f>
        <v>15.742699999999999</v>
      </c>
      <c r="F894" s="61">
        <f>15.7427 * CHOOSE(CONTROL!$C$19, $C$13, 100%, $E$13)</f>
        <v>15.742699999999999</v>
      </c>
      <c r="G894" s="61">
        <f>15.7429 * CHOOSE(CONTROL!$C$19, $C$13, 100%, $E$13)</f>
        <v>15.742900000000001</v>
      </c>
      <c r="H894" s="61">
        <f>21.9745* CHOOSE(CONTROL!$C$19, $C$13, 100%, $E$13)</f>
        <v>21.974499999999999</v>
      </c>
      <c r="I894" s="61">
        <f>21.9747 * CHOOSE(CONTROL!$C$19, $C$13, 100%, $E$13)</f>
        <v>21.974699999999999</v>
      </c>
      <c r="J894" s="61">
        <f>15.7427 * CHOOSE(CONTROL!$C$19, $C$13, 100%, $E$13)</f>
        <v>15.742699999999999</v>
      </c>
      <c r="K894" s="61">
        <f>15.7429 * CHOOSE(CONTROL!$C$19, $C$13, 100%, $E$13)</f>
        <v>15.742900000000001</v>
      </c>
    </row>
    <row r="895" spans="1:11" ht="15">
      <c r="A895" s="13">
        <v>69093</v>
      </c>
      <c r="B895" s="60">
        <f>13.2435 * CHOOSE(CONTROL!$C$19, $C$13, 100%, $E$13)</f>
        <v>13.243499999999999</v>
      </c>
      <c r="C895" s="60">
        <f>13.2435 * CHOOSE(CONTROL!$C$19, $C$13, 100%, $E$13)</f>
        <v>13.243499999999999</v>
      </c>
      <c r="D895" s="60">
        <f>13.2586 * CHOOSE(CONTROL!$C$19, $C$13, 100%, $E$13)</f>
        <v>13.258599999999999</v>
      </c>
      <c r="E895" s="61">
        <f>15.95 * CHOOSE(CONTROL!$C$19, $C$13, 100%, $E$13)</f>
        <v>15.95</v>
      </c>
      <c r="F895" s="61">
        <f>15.95 * CHOOSE(CONTROL!$C$19, $C$13, 100%, $E$13)</f>
        <v>15.95</v>
      </c>
      <c r="G895" s="61">
        <f>15.9501 * CHOOSE(CONTROL!$C$19, $C$13, 100%, $E$13)</f>
        <v>15.950100000000001</v>
      </c>
      <c r="H895" s="61">
        <f>22.0203* CHOOSE(CONTROL!$C$19, $C$13, 100%, $E$13)</f>
        <v>22.020299999999999</v>
      </c>
      <c r="I895" s="61">
        <f>22.0204 * CHOOSE(CONTROL!$C$19, $C$13, 100%, $E$13)</f>
        <v>22.020399999999999</v>
      </c>
      <c r="J895" s="61">
        <f>15.95 * CHOOSE(CONTROL!$C$19, $C$13, 100%, $E$13)</f>
        <v>15.95</v>
      </c>
      <c r="K895" s="61">
        <f>15.9501 * CHOOSE(CONTROL!$C$19, $C$13, 100%, $E$13)</f>
        <v>15.950100000000001</v>
      </c>
    </row>
    <row r="896" spans="1:11" ht="15">
      <c r="A896" s="13">
        <v>69124</v>
      </c>
      <c r="B896" s="60">
        <f>13.2502 * CHOOSE(CONTROL!$C$19, $C$13, 100%, $E$13)</f>
        <v>13.2502</v>
      </c>
      <c r="C896" s="60">
        <f>13.2502 * CHOOSE(CONTROL!$C$19, $C$13, 100%, $E$13)</f>
        <v>13.2502</v>
      </c>
      <c r="D896" s="60">
        <f>13.2654 * CHOOSE(CONTROL!$C$19, $C$13, 100%, $E$13)</f>
        <v>13.2654</v>
      </c>
      <c r="E896" s="61">
        <f>16.1706 * CHOOSE(CONTROL!$C$19, $C$13, 100%, $E$13)</f>
        <v>16.1706</v>
      </c>
      <c r="F896" s="61">
        <f>16.1706 * CHOOSE(CONTROL!$C$19, $C$13, 100%, $E$13)</f>
        <v>16.1706</v>
      </c>
      <c r="G896" s="61">
        <f>16.1707 * CHOOSE(CONTROL!$C$19, $C$13, 100%, $E$13)</f>
        <v>16.1707</v>
      </c>
      <c r="H896" s="61">
        <f>22.0661* CHOOSE(CONTROL!$C$19, $C$13, 100%, $E$13)</f>
        <v>22.066099999999999</v>
      </c>
      <c r="I896" s="61">
        <f>22.0663 * CHOOSE(CONTROL!$C$19, $C$13, 100%, $E$13)</f>
        <v>22.066299999999998</v>
      </c>
      <c r="J896" s="61">
        <f>16.1706 * CHOOSE(CONTROL!$C$19, $C$13, 100%, $E$13)</f>
        <v>16.1706</v>
      </c>
      <c r="K896" s="61">
        <f>16.1707 * CHOOSE(CONTROL!$C$19, $C$13, 100%, $E$13)</f>
        <v>16.1707</v>
      </c>
    </row>
    <row r="897" spans="1:11" ht="15">
      <c r="A897" s="13">
        <v>69154</v>
      </c>
      <c r="B897" s="60">
        <f>13.2502 * CHOOSE(CONTROL!$C$19, $C$13, 100%, $E$13)</f>
        <v>13.2502</v>
      </c>
      <c r="C897" s="60">
        <f>13.2502 * CHOOSE(CONTROL!$C$19, $C$13, 100%, $E$13)</f>
        <v>13.2502</v>
      </c>
      <c r="D897" s="60">
        <f>13.2806 * CHOOSE(CONTROL!$C$19, $C$13, 100%, $E$13)</f>
        <v>13.2806</v>
      </c>
      <c r="E897" s="61">
        <f>16.2549 * CHOOSE(CONTROL!$C$19, $C$13, 100%, $E$13)</f>
        <v>16.254899999999999</v>
      </c>
      <c r="F897" s="61">
        <f>16.2549 * CHOOSE(CONTROL!$C$19, $C$13, 100%, $E$13)</f>
        <v>16.254899999999999</v>
      </c>
      <c r="G897" s="61">
        <f>16.2568 * CHOOSE(CONTROL!$C$19, $C$13, 100%, $E$13)</f>
        <v>16.256799999999998</v>
      </c>
      <c r="H897" s="61">
        <f>22.1121* CHOOSE(CONTROL!$C$19, $C$13, 100%, $E$13)</f>
        <v>22.112100000000002</v>
      </c>
      <c r="I897" s="61">
        <f>22.114 * CHOOSE(CONTROL!$C$19, $C$13, 100%, $E$13)</f>
        <v>22.114000000000001</v>
      </c>
      <c r="J897" s="61">
        <f>16.2549 * CHOOSE(CONTROL!$C$19, $C$13, 100%, $E$13)</f>
        <v>16.254899999999999</v>
      </c>
      <c r="K897" s="61">
        <f>16.2568 * CHOOSE(CONTROL!$C$19, $C$13, 100%, $E$13)</f>
        <v>16.256799999999998</v>
      </c>
    </row>
    <row r="898" spans="1:11" ht="15">
      <c r="A898" s="13">
        <v>69185</v>
      </c>
      <c r="B898" s="60">
        <f>13.2563 * CHOOSE(CONTROL!$C$19, $C$13, 100%, $E$13)</f>
        <v>13.2563</v>
      </c>
      <c r="C898" s="60">
        <f>13.2563 * CHOOSE(CONTROL!$C$19, $C$13, 100%, $E$13)</f>
        <v>13.2563</v>
      </c>
      <c r="D898" s="60">
        <f>13.2867 * CHOOSE(CONTROL!$C$19, $C$13, 100%, $E$13)</f>
        <v>13.2867</v>
      </c>
      <c r="E898" s="61">
        <f>16.1748 * CHOOSE(CONTROL!$C$19, $C$13, 100%, $E$13)</f>
        <v>16.174800000000001</v>
      </c>
      <c r="F898" s="61">
        <f>16.1748 * CHOOSE(CONTROL!$C$19, $C$13, 100%, $E$13)</f>
        <v>16.174800000000001</v>
      </c>
      <c r="G898" s="61">
        <f>16.1767 * CHOOSE(CONTROL!$C$19, $C$13, 100%, $E$13)</f>
        <v>16.1767</v>
      </c>
      <c r="H898" s="61">
        <f>22.1582* CHOOSE(CONTROL!$C$19, $C$13, 100%, $E$13)</f>
        <v>22.158200000000001</v>
      </c>
      <c r="I898" s="61">
        <f>22.1601 * CHOOSE(CONTROL!$C$19, $C$13, 100%, $E$13)</f>
        <v>22.1601</v>
      </c>
      <c r="J898" s="61">
        <f>16.1748 * CHOOSE(CONTROL!$C$19, $C$13, 100%, $E$13)</f>
        <v>16.174800000000001</v>
      </c>
      <c r="K898" s="61">
        <f>16.1767 * CHOOSE(CONTROL!$C$19, $C$13, 100%, $E$13)</f>
        <v>16.1767</v>
      </c>
    </row>
    <row r="899" spans="1:11" ht="15">
      <c r="A899" s="13">
        <v>69215</v>
      </c>
      <c r="B899" s="60">
        <f>13.4395 * CHOOSE(CONTROL!$C$19, $C$13, 100%, $E$13)</f>
        <v>13.439500000000001</v>
      </c>
      <c r="C899" s="60">
        <f>13.4395 * CHOOSE(CONTROL!$C$19, $C$13, 100%, $E$13)</f>
        <v>13.439500000000001</v>
      </c>
      <c r="D899" s="60">
        <f>13.4698 * CHOOSE(CONTROL!$C$19, $C$13, 100%, $E$13)</f>
        <v>13.469799999999999</v>
      </c>
      <c r="E899" s="61">
        <f>16.4676 * CHOOSE(CONTROL!$C$19, $C$13, 100%, $E$13)</f>
        <v>16.467600000000001</v>
      </c>
      <c r="F899" s="61">
        <f>16.4676 * CHOOSE(CONTROL!$C$19, $C$13, 100%, $E$13)</f>
        <v>16.467600000000001</v>
      </c>
      <c r="G899" s="61">
        <f>16.4695 * CHOOSE(CONTROL!$C$19, $C$13, 100%, $E$13)</f>
        <v>16.4695</v>
      </c>
      <c r="H899" s="61">
        <f>22.2043* CHOOSE(CONTROL!$C$19, $C$13, 100%, $E$13)</f>
        <v>22.2043</v>
      </c>
      <c r="I899" s="61">
        <f>22.2062 * CHOOSE(CONTROL!$C$19, $C$13, 100%, $E$13)</f>
        <v>22.206199999999999</v>
      </c>
      <c r="J899" s="61">
        <f>16.4676 * CHOOSE(CONTROL!$C$19, $C$13, 100%, $E$13)</f>
        <v>16.467600000000001</v>
      </c>
      <c r="K899" s="61">
        <f>16.4695 * CHOOSE(CONTROL!$C$19, $C$13, 100%, $E$13)</f>
        <v>16.4695</v>
      </c>
    </row>
    <row r="900" spans="1:11" ht="15">
      <c r="A900" s="13">
        <v>69246</v>
      </c>
      <c r="B900" s="60">
        <f>13.4462 * CHOOSE(CONTROL!$C$19, $C$13, 100%, $E$13)</f>
        <v>13.446199999999999</v>
      </c>
      <c r="C900" s="60">
        <f>13.4462 * CHOOSE(CONTROL!$C$19, $C$13, 100%, $E$13)</f>
        <v>13.446199999999999</v>
      </c>
      <c r="D900" s="60">
        <f>13.4765 * CHOOSE(CONTROL!$C$19, $C$13, 100%, $E$13)</f>
        <v>13.4765</v>
      </c>
      <c r="E900" s="61">
        <f>16.2193 * CHOOSE(CONTROL!$C$19, $C$13, 100%, $E$13)</f>
        <v>16.2193</v>
      </c>
      <c r="F900" s="61">
        <f>16.2193 * CHOOSE(CONTROL!$C$19, $C$13, 100%, $E$13)</f>
        <v>16.2193</v>
      </c>
      <c r="G900" s="61">
        <f>16.2212 * CHOOSE(CONTROL!$C$19, $C$13, 100%, $E$13)</f>
        <v>16.2212</v>
      </c>
      <c r="H900" s="61">
        <f>22.2506* CHOOSE(CONTROL!$C$19, $C$13, 100%, $E$13)</f>
        <v>22.250599999999999</v>
      </c>
      <c r="I900" s="61">
        <f>22.2525 * CHOOSE(CONTROL!$C$19, $C$13, 100%, $E$13)</f>
        <v>22.252500000000001</v>
      </c>
      <c r="J900" s="61">
        <f>16.2193 * CHOOSE(CONTROL!$C$19, $C$13, 100%, $E$13)</f>
        <v>16.2193</v>
      </c>
      <c r="K900" s="61">
        <f>16.2212 * CHOOSE(CONTROL!$C$19, $C$13, 100%, $E$13)</f>
        <v>16.2212</v>
      </c>
    </row>
    <row r="901" spans="1:11" ht="15">
      <c r="A901" s="13">
        <v>69277</v>
      </c>
      <c r="B901" s="60">
        <f>13.4431 * CHOOSE(CONTROL!$C$19, $C$13, 100%, $E$13)</f>
        <v>13.443099999999999</v>
      </c>
      <c r="C901" s="60">
        <f>13.4431 * CHOOSE(CONTROL!$C$19, $C$13, 100%, $E$13)</f>
        <v>13.443099999999999</v>
      </c>
      <c r="D901" s="60">
        <f>13.4735 * CHOOSE(CONTROL!$C$19, $C$13, 100%, $E$13)</f>
        <v>13.4735</v>
      </c>
      <c r="E901" s="61">
        <f>16.1891 * CHOOSE(CONTROL!$C$19, $C$13, 100%, $E$13)</f>
        <v>16.1891</v>
      </c>
      <c r="F901" s="61">
        <f>16.1891 * CHOOSE(CONTROL!$C$19, $C$13, 100%, $E$13)</f>
        <v>16.1891</v>
      </c>
      <c r="G901" s="61">
        <f>16.191 * CHOOSE(CONTROL!$C$19, $C$13, 100%, $E$13)</f>
        <v>16.190999999999999</v>
      </c>
      <c r="H901" s="61">
        <f>22.297* CHOOSE(CONTROL!$C$19, $C$13, 100%, $E$13)</f>
        <v>22.297000000000001</v>
      </c>
      <c r="I901" s="61">
        <f>22.2989 * CHOOSE(CONTROL!$C$19, $C$13, 100%, $E$13)</f>
        <v>22.2989</v>
      </c>
      <c r="J901" s="61">
        <f>16.1891 * CHOOSE(CONTROL!$C$19, $C$13, 100%, $E$13)</f>
        <v>16.1891</v>
      </c>
      <c r="K901" s="61">
        <f>16.191 * CHOOSE(CONTROL!$C$19, $C$13, 100%, $E$13)</f>
        <v>16.190999999999999</v>
      </c>
    </row>
    <row r="902" spans="1:11" ht="15">
      <c r="A902" s="13">
        <v>69307</v>
      </c>
      <c r="B902" s="60">
        <f>13.474 * CHOOSE(CONTROL!$C$19, $C$13, 100%, $E$13)</f>
        <v>13.474</v>
      </c>
      <c r="C902" s="60">
        <f>13.474 * CHOOSE(CONTROL!$C$19, $C$13, 100%, $E$13)</f>
        <v>13.474</v>
      </c>
      <c r="D902" s="60">
        <f>13.4892 * CHOOSE(CONTROL!$C$19, $C$13, 100%, $E$13)</f>
        <v>13.4892</v>
      </c>
      <c r="E902" s="61">
        <f>16.2881 * CHOOSE(CONTROL!$C$19, $C$13, 100%, $E$13)</f>
        <v>16.2881</v>
      </c>
      <c r="F902" s="61">
        <f>16.2881 * CHOOSE(CONTROL!$C$19, $C$13, 100%, $E$13)</f>
        <v>16.2881</v>
      </c>
      <c r="G902" s="61">
        <f>16.2882 * CHOOSE(CONTROL!$C$19, $C$13, 100%, $E$13)</f>
        <v>16.2882</v>
      </c>
      <c r="H902" s="61">
        <f>22.3434* CHOOSE(CONTROL!$C$19, $C$13, 100%, $E$13)</f>
        <v>22.343399999999999</v>
      </c>
      <c r="I902" s="61">
        <f>22.3436 * CHOOSE(CONTROL!$C$19, $C$13, 100%, $E$13)</f>
        <v>22.343599999999999</v>
      </c>
      <c r="J902" s="61">
        <f>16.2881 * CHOOSE(CONTROL!$C$19, $C$13, 100%, $E$13)</f>
        <v>16.2881</v>
      </c>
      <c r="K902" s="61">
        <f>16.2882 * CHOOSE(CONTROL!$C$19, $C$13, 100%, $E$13)</f>
        <v>16.2882</v>
      </c>
    </row>
    <row r="903" spans="1:11" ht="15">
      <c r="A903" s="13">
        <v>69338</v>
      </c>
      <c r="B903" s="60">
        <f>13.4771 * CHOOSE(CONTROL!$C$19, $C$13, 100%, $E$13)</f>
        <v>13.4771</v>
      </c>
      <c r="C903" s="60">
        <f>13.4771 * CHOOSE(CONTROL!$C$19, $C$13, 100%, $E$13)</f>
        <v>13.4771</v>
      </c>
      <c r="D903" s="60">
        <f>13.4923 * CHOOSE(CONTROL!$C$19, $C$13, 100%, $E$13)</f>
        <v>13.4923</v>
      </c>
      <c r="E903" s="61">
        <f>16.3464 * CHOOSE(CONTROL!$C$19, $C$13, 100%, $E$13)</f>
        <v>16.346399999999999</v>
      </c>
      <c r="F903" s="61">
        <f>16.3464 * CHOOSE(CONTROL!$C$19, $C$13, 100%, $E$13)</f>
        <v>16.346399999999999</v>
      </c>
      <c r="G903" s="61">
        <f>16.3466 * CHOOSE(CONTROL!$C$19, $C$13, 100%, $E$13)</f>
        <v>16.346599999999999</v>
      </c>
      <c r="H903" s="61">
        <f>22.39* CHOOSE(CONTROL!$C$19, $C$13, 100%, $E$13)</f>
        <v>22.39</v>
      </c>
      <c r="I903" s="61">
        <f>22.3901 * CHOOSE(CONTROL!$C$19, $C$13, 100%, $E$13)</f>
        <v>22.3901</v>
      </c>
      <c r="J903" s="61">
        <f>16.3464 * CHOOSE(CONTROL!$C$19, $C$13, 100%, $E$13)</f>
        <v>16.346399999999999</v>
      </c>
      <c r="K903" s="61">
        <f>16.3466 * CHOOSE(CONTROL!$C$19, $C$13, 100%, $E$13)</f>
        <v>16.346599999999999</v>
      </c>
    </row>
    <row r="904" spans="1:11" ht="15">
      <c r="A904" s="13">
        <v>69368</v>
      </c>
      <c r="B904" s="60">
        <f>13.4771 * CHOOSE(CONTROL!$C$19, $C$13, 100%, $E$13)</f>
        <v>13.4771</v>
      </c>
      <c r="C904" s="60">
        <f>13.4771 * CHOOSE(CONTROL!$C$19, $C$13, 100%, $E$13)</f>
        <v>13.4771</v>
      </c>
      <c r="D904" s="60">
        <f>13.4923 * CHOOSE(CONTROL!$C$19, $C$13, 100%, $E$13)</f>
        <v>13.4923</v>
      </c>
      <c r="E904" s="61">
        <f>16.2059 * CHOOSE(CONTROL!$C$19, $C$13, 100%, $E$13)</f>
        <v>16.2059</v>
      </c>
      <c r="F904" s="61">
        <f>16.2059 * CHOOSE(CONTROL!$C$19, $C$13, 100%, $E$13)</f>
        <v>16.2059</v>
      </c>
      <c r="G904" s="61">
        <f>16.2061 * CHOOSE(CONTROL!$C$19, $C$13, 100%, $E$13)</f>
        <v>16.206099999999999</v>
      </c>
      <c r="H904" s="61">
        <f>22.4366* CHOOSE(CONTROL!$C$19, $C$13, 100%, $E$13)</f>
        <v>22.436599999999999</v>
      </c>
      <c r="I904" s="61">
        <f>22.4368 * CHOOSE(CONTROL!$C$19, $C$13, 100%, $E$13)</f>
        <v>22.436800000000002</v>
      </c>
      <c r="J904" s="61">
        <f>16.2059 * CHOOSE(CONTROL!$C$19, $C$13, 100%, $E$13)</f>
        <v>16.2059</v>
      </c>
      <c r="K904" s="61">
        <f>16.2061 * CHOOSE(CONTROL!$C$19, $C$13, 100%, $E$13)</f>
        <v>16.206099999999999</v>
      </c>
    </row>
    <row r="905" spans="1:11" ht="15">
      <c r="A905" s="13">
        <v>69399</v>
      </c>
      <c r="B905" s="60">
        <f>13.4462 * CHOOSE(CONTROL!$C$19, $C$13, 100%, $E$13)</f>
        <v>13.446199999999999</v>
      </c>
      <c r="C905" s="60">
        <f>13.4462 * CHOOSE(CONTROL!$C$19, $C$13, 100%, $E$13)</f>
        <v>13.446199999999999</v>
      </c>
      <c r="D905" s="60">
        <f>13.4613 * CHOOSE(CONTROL!$C$19, $C$13, 100%, $E$13)</f>
        <v>13.4613</v>
      </c>
      <c r="E905" s="61">
        <f>16.2622 * CHOOSE(CONTROL!$C$19, $C$13, 100%, $E$13)</f>
        <v>16.2622</v>
      </c>
      <c r="F905" s="61">
        <f>16.2622 * CHOOSE(CONTROL!$C$19, $C$13, 100%, $E$13)</f>
        <v>16.2622</v>
      </c>
      <c r="G905" s="61">
        <f>16.2624 * CHOOSE(CONTROL!$C$19, $C$13, 100%, $E$13)</f>
        <v>16.2624</v>
      </c>
      <c r="H905" s="61">
        <f>22.2535* CHOOSE(CONTROL!$C$19, $C$13, 100%, $E$13)</f>
        <v>22.253499999999999</v>
      </c>
      <c r="I905" s="61">
        <f>22.2536 * CHOOSE(CONTROL!$C$19, $C$13, 100%, $E$13)</f>
        <v>22.253599999999999</v>
      </c>
      <c r="J905" s="61">
        <f>16.2622 * CHOOSE(CONTROL!$C$19, $C$13, 100%, $E$13)</f>
        <v>16.2622</v>
      </c>
      <c r="K905" s="61">
        <f>16.2624 * CHOOSE(CONTROL!$C$19, $C$13, 100%, $E$13)</f>
        <v>16.2624</v>
      </c>
    </row>
    <row r="906" spans="1:11" ht="15">
      <c r="A906" s="13">
        <v>69430</v>
      </c>
      <c r="B906" s="60">
        <f>13.4431 * CHOOSE(CONTROL!$C$19, $C$13, 100%, $E$13)</f>
        <v>13.443099999999999</v>
      </c>
      <c r="C906" s="60">
        <f>13.4431 * CHOOSE(CONTROL!$C$19, $C$13, 100%, $E$13)</f>
        <v>13.443099999999999</v>
      </c>
      <c r="D906" s="60">
        <f>13.4583 * CHOOSE(CONTROL!$C$19, $C$13, 100%, $E$13)</f>
        <v>13.458299999999999</v>
      </c>
      <c r="E906" s="61">
        <f>15.9901 * CHOOSE(CONTROL!$C$19, $C$13, 100%, $E$13)</f>
        <v>15.9901</v>
      </c>
      <c r="F906" s="61">
        <f>15.9901 * CHOOSE(CONTROL!$C$19, $C$13, 100%, $E$13)</f>
        <v>15.9901</v>
      </c>
      <c r="G906" s="61">
        <f>15.9903 * CHOOSE(CONTROL!$C$19, $C$13, 100%, $E$13)</f>
        <v>15.9903</v>
      </c>
      <c r="H906" s="61">
        <f>22.2998* CHOOSE(CONTROL!$C$19, $C$13, 100%, $E$13)</f>
        <v>22.299800000000001</v>
      </c>
      <c r="I906" s="61">
        <f>22.3 * CHOOSE(CONTROL!$C$19, $C$13, 100%, $E$13)</f>
        <v>22.3</v>
      </c>
      <c r="J906" s="61">
        <f>15.9901 * CHOOSE(CONTROL!$C$19, $C$13, 100%, $E$13)</f>
        <v>15.9901</v>
      </c>
      <c r="K906" s="61">
        <f>15.9903 * CHOOSE(CONTROL!$C$19, $C$13, 100%, $E$13)</f>
        <v>15.9903</v>
      </c>
    </row>
    <row r="907" spans="1:11" ht="15">
      <c r="A907" s="13">
        <v>69458</v>
      </c>
      <c r="B907" s="60">
        <f>13.4401 * CHOOSE(CONTROL!$C$19, $C$13, 100%, $E$13)</f>
        <v>13.440099999999999</v>
      </c>
      <c r="C907" s="60">
        <f>13.4401 * CHOOSE(CONTROL!$C$19, $C$13, 100%, $E$13)</f>
        <v>13.440099999999999</v>
      </c>
      <c r="D907" s="60">
        <f>13.4553 * CHOOSE(CONTROL!$C$19, $C$13, 100%, $E$13)</f>
        <v>13.455299999999999</v>
      </c>
      <c r="E907" s="61">
        <f>16.2009 * CHOOSE(CONTROL!$C$19, $C$13, 100%, $E$13)</f>
        <v>16.200900000000001</v>
      </c>
      <c r="F907" s="61">
        <f>16.2009 * CHOOSE(CONTROL!$C$19, $C$13, 100%, $E$13)</f>
        <v>16.200900000000001</v>
      </c>
      <c r="G907" s="61">
        <f>16.201 * CHOOSE(CONTROL!$C$19, $C$13, 100%, $E$13)</f>
        <v>16.201000000000001</v>
      </c>
      <c r="H907" s="61">
        <f>22.3463* CHOOSE(CONTROL!$C$19, $C$13, 100%, $E$13)</f>
        <v>22.346299999999999</v>
      </c>
      <c r="I907" s="61">
        <f>22.3465 * CHOOSE(CONTROL!$C$19, $C$13, 100%, $E$13)</f>
        <v>22.346499999999999</v>
      </c>
      <c r="J907" s="61">
        <f>16.2009 * CHOOSE(CONTROL!$C$19, $C$13, 100%, $E$13)</f>
        <v>16.200900000000001</v>
      </c>
      <c r="K907" s="61">
        <f>16.201 * CHOOSE(CONTROL!$C$19, $C$13, 100%, $E$13)</f>
        <v>16.201000000000001</v>
      </c>
    </row>
    <row r="908" spans="1:11" ht="15">
      <c r="A908" s="13">
        <v>69489</v>
      </c>
      <c r="B908" s="60">
        <f>13.447 * CHOOSE(CONTROL!$C$19, $C$13, 100%, $E$13)</f>
        <v>13.446999999999999</v>
      </c>
      <c r="C908" s="60">
        <f>13.447 * CHOOSE(CONTROL!$C$19, $C$13, 100%, $E$13)</f>
        <v>13.446999999999999</v>
      </c>
      <c r="D908" s="60">
        <f>13.4622 * CHOOSE(CONTROL!$C$19, $C$13, 100%, $E$13)</f>
        <v>13.462199999999999</v>
      </c>
      <c r="E908" s="61">
        <f>16.4252 * CHOOSE(CONTROL!$C$19, $C$13, 100%, $E$13)</f>
        <v>16.4252</v>
      </c>
      <c r="F908" s="61">
        <f>16.4252 * CHOOSE(CONTROL!$C$19, $C$13, 100%, $E$13)</f>
        <v>16.4252</v>
      </c>
      <c r="G908" s="61">
        <f>16.4254 * CHOOSE(CONTROL!$C$19, $C$13, 100%, $E$13)</f>
        <v>16.4254</v>
      </c>
      <c r="H908" s="61">
        <f>22.3928* CHOOSE(CONTROL!$C$19, $C$13, 100%, $E$13)</f>
        <v>22.392800000000001</v>
      </c>
      <c r="I908" s="61">
        <f>22.393 * CHOOSE(CONTROL!$C$19, $C$13, 100%, $E$13)</f>
        <v>22.393000000000001</v>
      </c>
      <c r="J908" s="61">
        <f>16.4252 * CHOOSE(CONTROL!$C$19, $C$13, 100%, $E$13)</f>
        <v>16.4252</v>
      </c>
      <c r="K908" s="61">
        <f>16.4254 * CHOOSE(CONTROL!$C$19, $C$13, 100%, $E$13)</f>
        <v>16.4254</v>
      </c>
    </row>
    <row r="909" spans="1:11" ht="15">
      <c r="A909" s="13">
        <v>69519</v>
      </c>
      <c r="B909" s="60">
        <f>13.447 * CHOOSE(CONTROL!$C$19, $C$13, 100%, $E$13)</f>
        <v>13.446999999999999</v>
      </c>
      <c r="C909" s="60">
        <f>13.447 * CHOOSE(CONTROL!$C$19, $C$13, 100%, $E$13)</f>
        <v>13.446999999999999</v>
      </c>
      <c r="D909" s="60">
        <f>13.4774 * CHOOSE(CONTROL!$C$19, $C$13, 100%, $E$13)</f>
        <v>13.477399999999999</v>
      </c>
      <c r="E909" s="61">
        <f>16.511 * CHOOSE(CONTROL!$C$19, $C$13, 100%, $E$13)</f>
        <v>16.510999999999999</v>
      </c>
      <c r="F909" s="61">
        <f>16.511 * CHOOSE(CONTROL!$C$19, $C$13, 100%, $E$13)</f>
        <v>16.510999999999999</v>
      </c>
      <c r="G909" s="61">
        <f>16.5129 * CHOOSE(CONTROL!$C$19, $C$13, 100%, $E$13)</f>
        <v>16.512899999999998</v>
      </c>
      <c r="H909" s="61">
        <f>22.4395* CHOOSE(CONTROL!$C$19, $C$13, 100%, $E$13)</f>
        <v>22.439499999999999</v>
      </c>
      <c r="I909" s="61">
        <f>22.4414 * CHOOSE(CONTROL!$C$19, $C$13, 100%, $E$13)</f>
        <v>22.441400000000002</v>
      </c>
      <c r="J909" s="61">
        <f>16.511 * CHOOSE(CONTROL!$C$19, $C$13, 100%, $E$13)</f>
        <v>16.510999999999999</v>
      </c>
      <c r="K909" s="61">
        <f>16.5129 * CHOOSE(CONTROL!$C$19, $C$13, 100%, $E$13)</f>
        <v>16.512899999999998</v>
      </c>
    </row>
    <row r="910" spans="1:11" ht="15">
      <c r="A910" s="13">
        <v>69550</v>
      </c>
      <c r="B910" s="60">
        <f>13.4531 * CHOOSE(CONTROL!$C$19, $C$13, 100%, $E$13)</f>
        <v>13.453099999999999</v>
      </c>
      <c r="C910" s="60">
        <f>13.4531 * CHOOSE(CONTROL!$C$19, $C$13, 100%, $E$13)</f>
        <v>13.453099999999999</v>
      </c>
      <c r="D910" s="60">
        <f>13.4835 * CHOOSE(CONTROL!$C$19, $C$13, 100%, $E$13)</f>
        <v>13.483499999999999</v>
      </c>
      <c r="E910" s="61">
        <f>16.4295 * CHOOSE(CONTROL!$C$19, $C$13, 100%, $E$13)</f>
        <v>16.429500000000001</v>
      </c>
      <c r="F910" s="61">
        <f>16.4295 * CHOOSE(CONTROL!$C$19, $C$13, 100%, $E$13)</f>
        <v>16.429500000000001</v>
      </c>
      <c r="G910" s="61">
        <f>16.4314 * CHOOSE(CONTROL!$C$19, $C$13, 100%, $E$13)</f>
        <v>16.4314</v>
      </c>
      <c r="H910" s="61">
        <f>22.4862* CHOOSE(CONTROL!$C$19, $C$13, 100%, $E$13)</f>
        <v>22.4862</v>
      </c>
      <c r="I910" s="61">
        <f>22.4881 * CHOOSE(CONTROL!$C$19, $C$13, 100%, $E$13)</f>
        <v>22.488099999999999</v>
      </c>
      <c r="J910" s="61">
        <f>16.4295 * CHOOSE(CONTROL!$C$19, $C$13, 100%, $E$13)</f>
        <v>16.429500000000001</v>
      </c>
      <c r="K910" s="61">
        <f>16.4314 * CHOOSE(CONTROL!$C$19, $C$13, 100%, $E$13)</f>
        <v>16.4314</v>
      </c>
    </row>
    <row r="911" spans="1:11" ht="15">
      <c r="A911" s="13">
        <v>69580</v>
      </c>
      <c r="B911" s="60">
        <f>13.6388 * CHOOSE(CONTROL!$C$19, $C$13, 100%, $E$13)</f>
        <v>13.6388</v>
      </c>
      <c r="C911" s="60">
        <f>13.6388 * CHOOSE(CONTROL!$C$19, $C$13, 100%, $E$13)</f>
        <v>13.6388</v>
      </c>
      <c r="D911" s="60">
        <f>13.6691 * CHOOSE(CONTROL!$C$19, $C$13, 100%, $E$13)</f>
        <v>13.6691</v>
      </c>
      <c r="E911" s="61">
        <f>16.7267 * CHOOSE(CONTROL!$C$19, $C$13, 100%, $E$13)</f>
        <v>16.726700000000001</v>
      </c>
      <c r="F911" s="61">
        <f>16.7267 * CHOOSE(CONTROL!$C$19, $C$13, 100%, $E$13)</f>
        <v>16.726700000000001</v>
      </c>
      <c r="G911" s="61">
        <f>16.7286 * CHOOSE(CONTROL!$C$19, $C$13, 100%, $E$13)</f>
        <v>16.7286</v>
      </c>
      <c r="H911" s="61">
        <f>22.5331* CHOOSE(CONTROL!$C$19, $C$13, 100%, $E$13)</f>
        <v>22.533100000000001</v>
      </c>
      <c r="I911" s="61">
        <f>22.535 * CHOOSE(CONTROL!$C$19, $C$13, 100%, $E$13)</f>
        <v>22.535</v>
      </c>
      <c r="J911" s="61">
        <f>16.7267 * CHOOSE(CONTROL!$C$19, $C$13, 100%, $E$13)</f>
        <v>16.726700000000001</v>
      </c>
      <c r="K911" s="61">
        <f>16.7286 * CHOOSE(CONTROL!$C$19, $C$13, 100%, $E$13)</f>
        <v>16.7286</v>
      </c>
    </row>
    <row r="912" spans="1:11" ht="15">
      <c r="A912" s="13">
        <v>69611</v>
      </c>
      <c r="B912" s="60">
        <f>13.6455 * CHOOSE(CONTROL!$C$19, $C$13, 100%, $E$13)</f>
        <v>13.6455</v>
      </c>
      <c r="C912" s="60">
        <f>13.6455 * CHOOSE(CONTROL!$C$19, $C$13, 100%, $E$13)</f>
        <v>13.6455</v>
      </c>
      <c r="D912" s="60">
        <f>13.6758 * CHOOSE(CONTROL!$C$19, $C$13, 100%, $E$13)</f>
        <v>13.675800000000001</v>
      </c>
      <c r="E912" s="61">
        <f>16.4741 * CHOOSE(CONTROL!$C$19, $C$13, 100%, $E$13)</f>
        <v>16.4741</v>
      </c>
      <c r="F912" s="61">
        <f>16.4741 * CHOOSE(CONTROL!$C$19, $C$13, 100%, $E$13)</f>
        <v>16.4741</v>
      </c>
      <c r="G912" s="61">
        <f>16.476 * CHOOSE(CONTROL!$C$19, $C$13, 100%, $E$13)</f>
        <v>16.475999999999999</v>
      </c>
      <c r="H912" s="61">
        <f>22.58* CHOOSE(CONTROL!$C$19, $C$13, 100%, $E$13)</f>
        <v>22.58</v>
      </c>
      <c r="I912" s="61">
        <f>22.5819 * CHOOSE(CONTROL!$C$19, $C$13, 100%, $E$13)</f>
        <v>22.581900000000001</v>
      </c>
      <c r="J912" s="61">
        <f>16.4741 * CHOOSE(CONTROL!$C$19, $C$13, 100%, $E$13)</f>
        <v>16.4741</v>
      </c>
      <c r="K912" s="61">
        <f>16.476 * CHOOSE(CONTROL!$C$19, $C$13, 100%, $E$13)</f>
        <v>16.475999999999999</v>
      </c>
    </row>
    <row r="913" spans="1:11" ht="15">
      <c r="A913" s="13">
        <v>69642</v>
      </c>
      <c r="B913" s="60">
        <f>13.6424 * CHOOSE(CONTROL!$C$19, $C$13, 100%, $E$13)</f>
        <v>13.6424</v>
      </c>
      <c r="C913" s="60">
        <f>13.6424 * CHOOSE(CONTROL!$C$19, $C$13, 100%, $E$13)</f>
        <v>13.6424</v>
      </c>
      <c r="D913" s="60">
        <f>13.6728 * CHOOSE(CONTROL!$C$19, $C$13, 100%, $E$13)</f>
        <v>13.672800000000001</v>
      </c>
      <c r="E913" s="61">
        <f>16.4434 * CHOOSE(CONTROL!$C$19, $C$13, 100%, $E$13)</f>
        <v>16.4434</v>
      </c>
      <c r="F913" s="61">
        <f>16.4434 * CHOOSE(CONTROL!$C$19, $C$13, 100%, $E$13)</f>
        <v>16.4434</v>
      </c>
      <c r="G913" s="61">
        <f>16.4453 * CHOOSE(CONTROL!$C$19, $C$13, 100%, $E$13)</f>
        <v>16.4453</v>
      </c>
      <c r="H913" s="61">
        <f>22.6271* CHOOSE(CONTROL!$C$19, $C$13, 100%, $E$13)</f>
        <v>22.627099999999999</v>
      </c>
      <c r="I913" s="61">
        <f>22.629 * CHOOSE(CONTROL!$C$19, $C$13, 100%, $E$13)</f>
        <v>22.629000000000001</v>
      </c>
      <c r="J913" s="61">
        <f>16.4434 * CHOOSE(CONTROL!$C$19, $C$13, 100%, $E$13)</f>
        <v>16.4434</v>
      </c>
      <c r="K913" s="61">
        <f>16.4453 * CHOOSE(CONTROL!$C$19, $C$13, 100%, $E$13)</f>
        <v>16.4453</v>
      </c>
    </row>
    <row r="914" spans="1:11" ht="15">
      <c r="A914" s="13">
        <v>69672</v>
      </c>
      <c r="B914" s="60">
        <f>13.6741 * CHOOSE(CONTROL!$C$19, $C$13, 100%, $E$13)</f>
        <v>13.674099999999999</v>
      </c>
      <c r="C914" s="60">
        <f>13.6741 * CHOOSE(CONTROL!$C$19, $C$13, 100%, $E$13)</f>
        <v>13.674099999999999</v>
      </c>
      <c r="D914" s="60">
        <f>13.6893 * CHOOSE(CONTROL!$C$19, $C$13, 100%, $E$13)</f>
        <v>13.689299999999999</v>
      </c>
      <c r="E914" s="61">
        <f>16.5443 * CHOOSE(CONTROL!$C$19, $C$13, 100%, $E$13)</f>
        <v>16.5443</v>
      </c>
      <c r="F914" s="61">
        <f>16.5443 * CHOOSE(CONTROL!$C$19, $C$13, 100%, $E$13)</f>
        <v>16.5443</v>
      </c>
      <c r="G914" s="61">
        <f>16.5445 * CHOOSE(CONTROL!$C$19, $C$13, 100%, $E$13)</f>
        <v>16.544499999999999</v>
      </c>
      <c r="H914" s="61">
        <f>22.6742* CHOOSE(CONTROL!$C$19, $C$13, 100%, $E$13)</f>
        <v>22.674199999999999</v>
      </c>
      <c r="I914" s="61">
        <f>22.6744 * CHOOSE(CONTROL!$C$19, $C$13, 100%, $E$13)</f>
        <v>22.674399999999999</v>
      </c>
      <c r="J914" s="61">
        <f>16.5443 * CHOOSE(CONTROL!$C$19, $C$13, 100%, $E$13)</f>
        <v>16.5443</v>
      </c>
      <c r="K914" s="61">
        <f>16.5445 * CHOOSE(CONTROL!$C$19, $C$13, 100%, $E$13)</f>
        <v>16.544499999999999</v>
      </c>
    </row>
    <row r="915" spans="1:11" ht="15">
      <c r="A915" s="13">
        <v>69703</v>
      </c>
      <c r="B915" s="60">
        <f>13.6772 * CHOOSE(CONTROL!$C$19, $C$13, 100%, $E$13)</f>
        <v>13.677199999999999</v>
      </c>
      <c r="C915" s="60">
        <f>13.6772 * CHOOSE(CONTROL!$C$19, $C$13, 100%, $E$13)</f>
        <v>13.677199999999999</v>
      </c>
      <c r="D915" s="60">
        <f>13.6923 * CHOOSE(CONTROL!$C$19, $C$13, 100%, $E$13)</f>
        <v>13.692299999999999</v>
      </c>
      <c r="E915" s="61">
        <f>16.6036 * CHOOSE(CONTROL!$C$19, $C$13, 100%, $E$13)</f>
        <v>16.6036</v>
      </c>
      <c r="F915" s="61">
        <f>16.6036 * CHOOSE(CONTROL!$C$19, $C$13, 100%, $E$13)</f>
        <v>16.6036</v>
      </c>
      <c r="G915" s="61">
        <f>16.6038 * CHOOSE(CONTROL!$C$19, $C$13, 100%, $E$13)</f>
        <v>16.6038</v>
      </c>
      <c r="H915" s="61">
        <f>22.7214* CHOOSE(CONTROL!$C$19, $C$13, 100%, $E$13)</f>
        <v>22.721399999999999</v>
      </c>
      <c r="I915" s="61">
        <f>22.7216 * CHOOSE(CONTROL!$C$19, $C$13, 100%, $E$13)</f>
        <v>22.721599999999999</v>
      </c>
      <c r="J915" s="61">
        <f>16.6036 * CHOOSE(CONTROL!$C$19, $C$13, 100%, $E$13)</f>
        <v>16.6036</v>
      </c>
      <c r="K915" s="61">
        <f>16.6038 * CHOOSE(CONTROL!$C$19, $C$13, 100%, $E$13)</f>
        <v>16.6038</v>
      </c>
    </row>
    <row r="916" spans="1:11" ht="15">
      <c r="A916" s="13">
        <v>69733</v>
      </c>
      <c r="B916" s="60">
        <f>13.6772 * CHOOSE(CONTROL!$C$19, $C$13, 100%, $E$13)</f>
        <v>13.677199999999999</v>
      </c>
      <c r="C916" s="60">
        <f>13.6772 * CHOOSE(CONTROL!$C$19, $C$13, 100%, $E$13)</f>
        <v>13.677199999999999</v>
      </c>
      <c r="D916" s="60">
        <f>13.6923 * CHOOSE(CONTROL!$C$19, $C$13, 100%, $E$13)</f>
        <v>13.692299999999999</v>
      </c>
      <c r="E916" s="61">
        <f>16.4607 * CHOOSE(CONTROL!$C$19, $C$13, 100%, $E$13)</f>
        <v>16.460699999999999</v>
      </c>
      <c r="F916" s="61">
        <f>16.4607 * CHOOSE(CONTROL!$C$19, $C$13, 100%, $E$13)</f>
        <v>16.460699999999999</v>
      </c>
      <c r="G916" s="61">
        <f>16.4609 * CHOOSE(CONTROL!$C$19, $C$13, 100%, $E$13)</f>
        <v>16.460899999999999</v>
      </c>
      <c r="H916" s="61">
        <f>22.7688* CHOOSE(CONTROL!$C$19, $C$13, 100%, $E$13)</f>
        <v>22.768799999999999</v>
      </c>
      <c r="I916" s="61">
        <f>22.769 * CHOOSE(CONTROL!$C$19, $C$13, 100%, $E$13)</f>
        <v>22.768999999999998</v>
      </c>
      <c r="J916" s="61">
        <f>16.4607 * CHOOSE(CONTROL!$C$19, $C$13, 100%, $E$13)</f>
        <v>16.460699999999999</v>
      </c>
      <c r="K916" s="61">
        <f>16.4609 * CHOOSE(CONTROL!$C$19, $C$13, 100%, $E$13)</f>
        <v>16.460899999999999</v>
      </c>
    </row>
    <row r="917" spans="1:11" ht="15">
      <c r="A917" s="13">
        <v>69764</v>
      </c>
      <c r="B917" s="60">
        <f>13.6428 * CHOOSE(CONTROL!$C$19, $C$13, 100%, $E$13)</f>
        <v>13.642799999999999</v>
      </c>
      <c r="C917" s="60">
        <f>13.6428 * CHOOSE(CONTROL!$C$19, $C$13, 100%, $E$13)</f>
        <v>13.642799999999999</v>
      </c>
      <c r="D917" s="60">
        <f>13.658 * CHOOSE(CONTROL!$C$19, $C$13, 100%, $E$13)</f>
        <v>13.657999999999999</v>
      </c>
      <c r="E917" s="61">
        <f>16.5141 * CHOOSE(CONTROL!$C$19, $C$13, 100%, $E$13)</f>
        <v>16.514099999999999</v>
      </c>
      <c r="F917" s="61">
        <f>16.5141 * CHOOSE(CONTROL!$C$19, $C$13, 100%, $E$13)</f>
        <v>16.514099999999999</v>
      </c>
      <c r="G917" s="61">
        <f>16.5143 * CHOOSE(CONTROL!$C$19, $C$13, 100%, $E$13)</f>
        <v>16.514299999999999</v>
      </c>
      <c r="H917" s="61">
        <f>22.5781* CHOOSE(CONTROL!$C$19, $C$13, 100%, $E$13)</f>
        <v>22.578099999999999</v>
      </c>
      <c r="I917" s="61">
        <f>22.5783 * CHOOSE(CONTROL!$C$19, $C$13, 100%, $E$13)</f>
        <v>22.578299999999999</v>
      </c>
      <c r="J917" s="61">
        <f>16.5141 * CHOOSE(CONTROL!$C$19, $C$13, 100%, $E$13)</f>
        <v>16.514099999999999</v>
      </c>
      <c r="K917" s="61">
        <f>16.5143 * CHOOSE(CONTROL!$C$19, $C$13, 100%, $E$13)</f>
        <v>16.514299999999999</v>
      </c>
    </row>
    <row r="918" spans="1:11" ht="15">
      <c r="A918" s="13">
        <v>69795</v>
      </c>
      <c r="B918" s="60">
        <f>13.6397 * CHOOSE(CONTROL!$C$19, $C$13, 100%, $E$13)</f>
        <v>13.639699999999999</v>
      </c>
      <c r="C918" s="60">
        <f>13.6397 * CHOOSE(CONTROL!$C$19, $C$13, 100%, $E$13)</f>
        <v>13.639699999999999</v>
      </c>
      <c r="D918" s="60">
        <f>13.6549 * CHOOSE(CONTROL!$C$19, $C$13, 100%, $E$13)</f>
        <v>13.6549</v>
      </c>
      <c r="E918" s="61">
        <f>16.2375 * CHOOSE(CONTROL!$C$19, $C$13, 100%, $E$13)</f>
        <v>16.237500000000001</v>
      </c>
      <c r="F918" s="61">
        <f>16.2375 * CHOOSE(CONTROL!$C$19, $C$13, 100%, $E$13)</f>
        <v>16.237500000000001</v>
      </c>
      <c r="G918" s="61">
        <f>16.2376 * CHOOSE(CONTROL!$C$19, $C$13, 100%, $E$13)</f>
        <v>16.2376</v>
      </c>
      <c r="H918" s="61">
        <f>22.6252* CHOOSE(CONTROL!$C$19, $C$13, 100%, $E$13)</f>
        <v>22.6252</v>
      </c>
      <c r="I918" s="61">
        <f>22.6253 * CHOOSE(CONTROL!$C$19, $C$13, 100%, $E$13)</f>
        <v>22.625299999999999</v>
      </c>
      <c r="J918" s="61">
        <f>16.2375 * CHOOSE(CONTROL!$C$19, $C$13, 100%, $E$13)</f>
        <v>16.237500000000001</v>
      </c>
      <c r="K918" s="61">
        <f>16.2376 * CHOOSE(CONTROL!$C$19, $C$13, 100%, $E$13)</f>
        <v>16.2376</v>
      </c>
    </row>
    <row r="919" spans="1:11" ht="15">
      <c r="A919" s="13">
        <v>69823</v>
      </c>
      <c r="B919" s="60">
        <f>13.6367 * CHOOSE(CONTROL!$C$19, $C$13, 100%, $E$13)</f>
        <v>13.636699999999999</v>
      </c>
      <c r="C919" s="60">
        <f>13.6367 * CHOOSE(CONTROL!$C$19, $C$13, 100%, $E$13)</f>
        <v>13.636699999999999</v>
      </c>
      <c r="D919" s="60">
        <f>13.6519 * CHOOSE(CONTROL!$C$19, $C$13, 100%, $E$13)</f>
        <v>13.651899999999999</v>
      </c>
      <c r="E919" s="61">
        <f>16.4517 * CHOOSE(CONTROL!$C$19, $C$13, 100%, $E$13)</f>
        <v>16.451699999999999</v>
      </c>
      <c r="F919" s="61">
        <f>16.4517 * CHOOSE(CONTROL!$C$19, $C$13, 100%, $E$13)</f>
        <v>16.451699999999999</v>
      </c>
      <c r="G919" s="61">
        <f>16.4519 * CHOOSE(CONTROL!$C$19, $C$13, 100%, $E$13)</f>
        <v>16.451899999999998</v>
      </c>
      <c r="H919" s="61">
        <f>22.6723* CHOOSE(CONTROL!$C$19, $C$13, 100%, $E$13)</f>
        <v>22.6723</v>
      </c>
      <c r="I919" s="61">
        <f>22.6725 * CHOOSE(CONTROL!$C$19, $C$13, 100%, $E$13)</f>
        <v>22.672499999999999</v>
      </c>
      <c r="J919" s="61">
        <f>16.4517 * CHOOSE(CONTROL!$C$19, $C$13, 100%, $E$13)</f>
        <v>16.451699999999999</v>
      </c>
      <c r="K919" s="61">
        <f>16.4519 * CHOOSE(CONTROL!$C$19, $C$13, 100%, $E$13)</f>
        <v>16.451899999999998</v>
      </c>
    </row>
    <row r="920" spans="1:11" ht="15">
      <c r="A920" s="13">
        <v>69854</v>
      </c>
      <c r="B920" s="60">
        <f>13.6438 * CHOOSE(CONTROL!$C$19, $C$13, 100%, $E$13)</f>
        <v>13.643800000000001</v>
      </c>
      <c r="C920" s="60">
        <f>13.6438 * CHOOSE(CONTROL!$C$19, $C$13, 100%, $E$13)</f>
        <v>13.643800000000001</v>
      </c>
      <c r="D920" s="60">
        <f>13.659 * CHOOSE(CONTROL!$C$19, $C$13, 100%, $E$13)</f>
        <v>13.659000000000001</v>
      </c>
      <c r="E920" s="61">
        <f>16.6799 * CHOOSE(CONTROL!$C$19, $C$13, 100%, $E$13)</f>
        <v>16.6799</v>
      </c>
      <c r="F920" s="61">
        <f>16.6799 * CHOOSE(CONTROL!$C$19, $C$13, 100%, $E$13)</f>
        <v>16.6799</v>
      </c>
      <c r="G920" s="61">
        <f>16.6801 * CHOOSE(CONTROL!$C$19, $C$13, 100%, $E$13)</f>
        <v>16.680099999999999</v>
      </c>
      <c r="H920" s="61">
        <f>22.7195* CHOOSE(CONTROL!$C$19, $C$13, 100%, $E$13)</f>
        <v>22.7195</v>
      </c>
      <c r="I920" s="61">
        <f>22.7197 * CHOOSE(CONTROL!$C$19, $C$13, 100%, $E$13)</f>
        <v>22.7197</v>
      </c>
      <c r="J920" s="61">
        <f>16.6799 * CHOOSE(CONTROL!$C$19, $C$13, 100%, $E$13)</f>
        <v>16.6799</v>
      </c>
      <c r="K920" s="61">
        <f>16.6801 * CHOOSE(CONTROL!$C$19, $C$13, 100%, $E$13)</f>
        <v>16.680099999999999</v>
      </c>
    </row>
    <row r="921" spans="1:11" ht="15">
      <c r="A921" s="13">
        <v>69884</v>
      </c>
      <c r="B921" s="60">
        <f>13.6438 * CHOOSE(CONTROL!$C$19, $C$13, 100%, $E$13)</f>
        <v>13.643800000000001</v>
      </c>
      <c r="C921" s="60">
        <f>13.6438 * CHOOSE(CONTROL!$C$19, $C$13, 100%, $E$13)</f>
        <v>13.643800000000001</v>
      </c>
      <c r="D921" s="60">
        <f>13.6742 * CHOOSE(CONTROL!$C$19, $C$13, 100%, $E$13)</f>
        <v>13.674200000000001</v>
      </c>
      <c r="E921" s="61">
        <f>16.7671 * CHOOSE(CONTROL!$C$19, $C$13, 100%, $E$13)</f>
        <v>16.767099999999999</v>
      </c>
      <c r="F921" s="61">
        <f>16.7671 * CHOOSE(CONTROL!$C$19, $C$13, 100%, $E$13)</f>
        <v>16.767099999999999</v>
      </c>
      <c r="G921" s="61">
        <f>16.769 * CHOOSE(CONTROL!$C$19, $C$13, 100%, $E$13)</f>
        <v>16.768999999999998</v>
      </c>
      <c r="H921" s="61">
        <f>22.7669* CHOOSE(CONTROL!$C$19, $C$13, 100%, $E$13)</f>
        <v>22.7669</v>
      </c>
      <c r="I921" s="61">
        <f>22.7688 * CHOOSE(CONTROL!$C$19, $C$13, 100%, $E$13)</f>
        <v>22.768799999999999</v>
      </c>
      <c r="J921" s="61">
        <f>16.7671 * CHOOSE(CONTROL!$C$19, $C$13, 100%, $E$13)</f>
        <v>16.767099999999999</v>
      </c>
      <c r="K921" s="61">
        <f>16.769 * CHOOSE(CONTROL!$C$19, $C$13, 100%, $E$13)</f>
        <v>16.768999999999998</v>
      </c>
    </row>
    <row r="922" spans="1:11" ht="15">
      <c r="A922" s="13">
        <v>69915</v>
      </c>
      <c r="B922" s="60">
        <f>13.6499 * CHOOSE(CONTROL!$C$19, $C$13, 100%, $E$13)</f>
        <v>13.649900000000001</v>
      </c>
      <c r="C922" s="60">
        <f>13.6499 * CHOOSE(CONTROL!$C$19, $C$13, 100%, $E$13)</f>
        <v>13.649900000000001</v>
      </c>
      <c r="D922" s="60">
        <f>13.6803 * CHOOSE(CONTROL!$C$19, $C$13, 100%, $E$13)</f>
        <v>13.680300000000001</v>
      </c>
      <c r="E922" s="61">
        <f>16.6841 * CHOOSE(CONTROL!$C$19, $C$13, 100%, $E$13)</f>
        <v>16.684100000000001</v>
      </c>
      <c r="F922" s="61">
        <f>16.6841 * CHOOSE(CONTROL!$C$19, $C$13, 100%, $E$13)</f>
        <v>16.684100000000001</v>
      </c>
      <c r="G922" s="61">
        <f>16.686 * CHOOSE(CONTROL!$C$19, $C$13, 100%, $E$13)</f>
        <v>16.686</v>
      </c>
      <c r="H922" s="61">
        <f>22.8143* CHOOSE(CONTROL!$C$19, $C$13, 100%, $E$13)</f>
        <v>22.814299999999999</v>
      </c>
      <c r="I922" s="61">
        <f>22.8162 * CHOOSE(CONTROL!$C$19, $C$13, 100%, $E$13)</f>
        <v>22.816199999999998</v>
      </c>
      <c r="J922" s="61">
        <f>16.6841 * CHOOSE(CONTROL!$C$19, $C$13, 100%, $E$13)</f>
        <v>16.684100000000001</v>
      </c>
      <c r="K922" s="61">
        <f>16.686 * CHOOSE(CONTROL!$C$19, $C$13, 100%, $E$13)</f>
        <v>16.686</v>
      </c>
    </row>
    <row r="923" spans="1:11" ht="15">
      <c r="A923" s="13">
        <v>69945</v>
      </c>
      <c r="B923" s="60">
        <f>13.8381 * CHOOSE(CONTROL!$C$19, $C$13, 100%, $E$13)</f>
        <v>13.838100000000001</v>
      </c>
      <c r="C923" s="60">
        <f>13.8381 * CHOOSE(CONTROL!$C$19, $C$13, 100%, $E$13)</f>
        <v>13.838100000000001</v>
      </c>
      <c r="D923" s="60">
        <f>13.8685 * CHOOSE(CONTROL!$C$19, $C$13, 100%, $E$13)</f>
        <v>13.868499999999999</v>
      </c>
      <c r="E923" s="61">
        <f>16.9858 * CHOOSE(CONTROL!$C$19, $C$13, 100%, $E$13)</f>
        <v>16.985800000000001</v>
      </c>
      <c r="F923" s="61">
        <f>16.9858 * CHOOSE(CONTROL!$C$19, $C$13, 100%, $E$13)</f>
        <v>16.985800000000001</v>
      </c>
      <c r="G923" s="61">
        <f>16.9877 * CHOOSE(CONTROL!$C$19, $C$13, 100%, $E$13)</f>
        <v>16.9877</v>
      </c>
      <c r="H923" s="61">
        <f>22.8618* CHOOSE(CONTROL!$C$19, $C$13, 100%, $E$13)</f>
        <v>22.861799999999999</v>
      </c>
      <c r="I923" s="61">
        <f>22.8637 * CHOOSE(CONTROL!$C$19, $C$13, 100%, $E$13)</f>
        <v>22.863700000000001</v>
      </c>
      <c r="J923" s="61">
        <f>16.9858 * CHOOSE(CONTROL!$C$19, $C$13, 100%, $E$13)</f>
        <v>16.985800000000001</v>
      </c>
      <c r="K923" s="61">
        <f>16.9877 * CHOOSE(CONTROL!$C$19, $C$13, 100%, $E$13)</f>
        <v>16.9877</v>
      </c>
    </row>
    <row r="924" spans="1:11" ht="15">
      <c r="A924" s="13">
        <v>69976</v>
      </c>
      <c r="B924" s="60">
        <f>13.8448 * CHOOSE(CONTROL!$C$19, $C$13, 100%, $E$13)</f>
        <v>13.844799999999999</v>
      </c>
      <c r="C924" s="60">
        <f>13.8448 * CHOOSE(CONTROL!$C$19, $C$13, 100%, $E$13)</f>
        <v>13.844799999999999</v>
      </c>
      <c r="D924" s="60">
        <f>13.8751 * CHOOSE(CONTROL!$C$19, $C$13, 100%, $E$13)</f>
        <v>13.8751</v>
      </c>
      <c r="E924" s="61">
        <f>16.729 * CHOOSE(CONTROL!$C$19, $C$13, 100%, $E$13)</f>
        <v>16.728999999999999</v>
      </c>
      <c r="F924" s="61">
        <f>16.729 * CHOOSE(CONTROL!$C$19, $C$13, 100%, $E$13)</f>
        <v>16.728999999999999</v>
      </c>
      <c r="G924" s="61">
        <f>16.7309 * CHOOSE(CONTROL!$C$19, $C$13, 100%, $E$13)</f>
        <v>16.730899999999998</v>
      </c>
      <c r="H924" s="61">
        <f>22.9094* CHOOSE(CONTROL!$C$19, $C$13, 100%, $E$13)</f>
        <v>22.909400000000002</v>
      </c>
      <c r="I924" s="61">
        <f>22.9113 * CHOOSE(CONTROL!$C$19, $C$13, 100%, $E$13)</f>
        <v>22.911300000000001</v>
      </c>
      <c r="J924" s="61">
        <f>16.729 * CHOOSE(CONTROL!$C$19, $C$13, 100%, $E$13)</f>
        <v>16.728999999999999</v>
      </c>
      <c r="K924" s="61">
        <f>16.7309 * CHOOSE(CONTROL!$C$19, $C$13, 100%, $E$13)</f>
        <v>16.730899999999998</v>
      </c>
    </row>
    <row r="925" spans="1:11" ht="15">
      <c r="A925" s="13">
        <v>70007</v>
      </c>
      <c r="B925" s="60">
        <f>13.8417 * CHOOSE(CONTROL!$C$19, $C$13, 100%, $E$13)</f>
        <v>13.841699999999999</v>
      </c>
      <c r="C925" s="60">
        <f>13.8417 * CHOOSE(CONTROL!$C$19, $C$13, 100%, $E$13)</f>
        <v>13.841699999999999</v>
      </c>
      <c r="D925" s="60">
        <f>13.8721 * CHOOSE(CONTROL!$C$19, $C$13, 100%, $E$13)</f>
        <v>13.8721</v>
      </c>
      <c r="E925" s="61">
        <f>16.6978 * CHOOSE(CONTROL!$C$19, $C$13, 100%, $E$13)</f>
        <v>16.697800000000001</v>
      </c>
      <c r="F925" s="61">
        <f>16.6978 * CHOOSE(CONTROL!$C$19, $C$13, 100%, $E$13)</f>
        <v>16.697800000000001</v>
      </c>
      <c r="G925" s="61">
        <f>16.6997 * CHOOSE(CONTROL!$C$19, $C$13, 100%, $E$13)</f>
        <v>16.6997</v>
      </c>
      <c r="H925" s="61">
        <f>22.9572* CHOOSE(CONTROL!$C$19, $C$13, 100%, $E$13)</f>
        <v>22.9572</v>
      </c>
      <c r="I925" s="61">
        <f>22.9591 * CHOOSE(CONTROL!$C$19, $C$13, 100%, $E$13)</f>
        <v>22.959099999999999</v>
      </c>
      <c r="J925" s="61">
        <f>16.6978 * CHOOSE(CONTROL!$C$19, $C$13, 100%, $E$13)</f>
        <v>16.697800000000001</v>
      </c>
      <c r="K925" s="61">
        <f>16.6997 * CHOOSE(CONTROL!$C$19, $C$13, 100%, $E$13)</f>
        <v>16.6997</v>
      </c>
    </row>
    <row r="926" spans="1:11" ht="15">
      <c r="A926" s="13">
        <v>70037</v>
      </c>
      <c r="B926" s="60">
        <f>13.8742 * CHOOSE(CONTROL!$C$19, $C$13, 100%, $E$13)</f>
        <v>13.8742</v>
      </c>
      <c r="C926" s="60">
        <f>13.8742 * CHOOSE(CONTROL!$C$19, $C$13, 100%, $E$13)</f>
        <v>13.8742</v>
      </c>
      <c r="D926" s="60">
        <f>13.8894 * CHOOSE(CONTROL!$C$19, $C$13, 100%, $E$13)</f>
        <v>13.8894</v>
      </c>
      <c r="E926" s="61">
        <f>16.8006 * CHOOSE(CONTROL!$C$19, $C$13, 100%, $E$13)</f>
        <v>16.800599999999999</v>
      </c>
      <c r="F926" s="61">
        <f>16.8006 * CHOOSE(CONTROL!$C$19, $C$13, 100%, $E$13)</f>
        <v>16.800599999999999</v>
      </c>
      <c r="G926" s="61">
        <f>16.8008 * CHOOSE(CONTROL!$C$19, $C$13, 100%, $E$13)</f>
        <v>16.800799999999999</v>
      </c>
      <c r="H926" s="61">
        <f>23.005* CHOOSE(CONTROL!$C$19, $C$13, 100%, $E$13)</f>
        <v>23.004999999999999</v>
      </c>
      <c r="I926" s="61">
        <f>23.0052 * CHOOSE(CONTROL!$C$19, $C$13, 100%, $E$13)</f>
        <v>23.005199999999999</v>
      </c>
      <c r="J926" s="61">
        <f>16.8006 * CHOOSE(CONTROL!$C$19, $C$13, 100%, $E$13)</f>
        <v>16.800599999999999</v>
      </c>
      <c r="K926" s="61">
        <f>16.8008 * CHOOSE(CONTROL!$C$19, $C$13, 100%, $E$13)</f>
        <v>16.800799999999999</v>
      </c>
    </row>
    <row r="927" spans="1:11" ht="15">
      <c r="A927" s="13">
        <v>70068</v>
      </c>
      <c r="B927" s="60">
        <f>13.8772 * CHOOSE(CONTROL!$C$19, $C$13, 100%, $E$13)</f>
        <v>13.8772</v>
      </c>
      <c r="C927" s="60">
        <f>13.8772 * CHOOSE(CONTROL!$C$19, $C$13, 100%, $E$13)</f>
        <v>13.8772</v>
      </c>
      <c r="D927" s="60">
        <f>13.8924 * CHOOSE(CONTROL!$C$19, $C$13, 100%, $E$13)</f>
        <v>13.8924</v>
      </c>
      <c r="E927" s="61">
        <f>16.8608 * CHOOSE(CONTROL!$C$19, $C$13, 100%, $E$13)</f>
        <v>16.860800000000001</v>
      </c>
      <c r="F927" s="61">
        <f>16.8608 * CHOOSE(CONTROL!$C$19, $C$13, 100%, $E$13)</f>
        <v>16.860800000000001</v>
      </c>
      <c r="G927" s="61">
        <f>16.861 * CHOOSE(CONTROL!$C$19, $C$13, 100%, $E$13)</f>
        <v>16.861000000000001</v>
      </c>
      <c r="H927" s="61">
        <f>23.0529* CHOOSE(CONTROL!$C$19, $C$13, 100%, $E$13)</f>
        <v>23.052900000000001</v>
      </c>
      <c r="I927" s="61">
        <f>23.0531 * CHOOSE(CONTROL!$C$19, $C$13, 100%, $E$13)</f>
        <v>23.053100000000001</v>
      </c>
      <c r="J927" s="61">
        <f>16.8608 * CHOOSE(CONTROL!$C$19, $C$13, 100%, $E$13)</f>
        <v>16.860800000000001</v>
      </c>
      <c r="K927" s="61">
        <f>16.861 * CHOOSE(CONTROL!$C$19, $C$13, 100%, $E$13)</f>
        <v>16.861000000000001</v>
      </c>
    </row>
    <row r="928" spans="1:11" ht="15">
      <c r="A928" s="13">
        <v>70098</v>
      </c>
      <c r="B928" s="60">
        <f>13.8772 * CHOOSE(CONTROL!$C$19, $C$13, 100%, $E$13)</f>
        <v>13.8772</v>
      </c>
      <c r="C928" s="60">
        <f>13.8772 * CHOOSE(CONTROL!$C$19, $C$13, 100%, $E$13)</f>
        <v>13.8772</v>
      </c>
      <c r="D928" s="60">
        <f>13.8924 * CHOOSE(CONTROL!$C$19, $C$13, 100%, $E$13)</f>
        <v>13.8924</v>
      </c>
      <c r="E928" s="61">
        <f>16.7156 * CHOOSE(CONTROL!$C$19, $C$13, 100%, $E$13)</f>
        <v>16.715599999999998</v>
      </c>
      <c r="F928" s="61">
        <f>16.7156 * CHOOSE(CONTROL!$C$19, $C$13, 100%, $E$13)</f>
        <v>16.715599999999998</v>
      </c>
      <c r="G928" s="61">
        <f>16.7157 * CHOOSE(CONTROL!$C$19, $C$13, 100%, $E$13)</f>
        <v>16.715699999999998</v>
      </c>
      <c r="H928" s="61">
        <f>23.101* CHOOSE(CONTROL!$C$19, $C$13, 100%, $E$13)</f>
        <v>23.100999999999999</v>
      </c>
      <c r="I928" s="61">
        <f>23.1011 * CHOOSE(CONTROL!$C$19, $C$13, 100%, $E$13)</f>
        <v>23.101099999999999</v>
      </c>
      <c r="J928" s="61">
        <f>16.7156 * CHOOSE(CONTROL!$C$19, $C$13, 100%, $E$13)</f>
        <v>16.715599999999998</v>
      </c>
      <c r="K928" s="61">
        <f>16.7157 * CHOOSE(CONTROL!$C$19, $C$13, 100%, $E$13)</f>
        <v>16.715699999999998</v>
      </c>
    </row>
    <row r="929" spans="1:11" ht="15">
      <c r="A929" s="13">
        <v>70129</v>
      </c>
      <c r="B929" s="60">
        <f>13.8394 * CHOOSE(CONTROL!$C$19, $C$13, 100%, $E$13)</f>
        <v>13.839399999999999</v>
      </c>
      <c r="C929" s="60">
        <f>13.8394 * CHOOSE(CONTROL!$C$19, $C$13, 100%, $E$13)</f>
        <v>13.839399999999999</v>
      </c>
      <c r="D929" s="60">
        <f>13.8546 * CHOOSE(CONTROL!$C$19, $C$13, 100%, $E$13)</f>
        <v>13.8546</v>
      </c>
      <c r="E929" s="61">
        <f>16.7659 * CHOOSE(CONTROL!$C$19, $C$13, 100%, $E$13)</f>
        <v>16.765899999999998</v>
      </c>
      <c r="F929" s="61">
        <f>16.7659 * CHOOSE(CONTROL!$C$19, $C$13, 100%, $E$13)</f>
        <v>16.765899999999998</v>
      </c>
      <c r="G929" s="61">
        <f>16.7661 * CHOOSE(CONTROL!$C$19, $C$13, 100%, $E$13)</f>
        <v>16.766100000000002</v>
      </c>
      <c r="H929" s="61">
        <f>22.9028* CHOOSE(CONTROL!$C$19, $C$13, 100%, $E$13)</f>
        <v>22.902799999999999</v>
      </c>
      <c r="I929" s="61">
        <f>22.903 * CHOOSE(CONTROL!$C$19, $C$13, 100%, $E$13)</f>
        <v>22.902999999999999</v>
      </c>
      <c r="J929" s="61">
        <f>16.7659 * CHOOSE(CONTROL!$C$19, $C$13, 100%, $E$13)</f>
        <v>16.765899999999998</v>
      </c>
      <c r="K929" s="61">
        <f>16.7661 * CHOOSE(CONTROL!$C$19, $C$13, 100%, $E$13)</f>
        <v>16.766100000000002</v>
      </c>
    </row>
    <row r="930" spans="1:11" ht="15">
      <c r="A930" s="13">
        <v>70160</v>
      </c>
      <c r="B930" s="60">
        <f>13.8363 * CHOOSE(CONTROL!$C$19, $C$13, 100%, $E$13)</f>
        <v>13.8363</v>
      </c>
      <c r="C930" s="60">
        <f>13.8363 * CHOOSE(CONTROL!$C$19, $C$13, 100%, $E$13)</f>
        <v>13.8363</v>
      </c>
      <c r="D930" s="60">
        <f>13.8515 * CHOOSE(CONTROL!$C$19, $C$13, 100%, $E$13)</f>
        <v>13.8515</v>
      </c>
      <c r="E930" s="61">
        <f>16.4848 * CHOOSE(CONTROL!$C$19, $C$13, 100%, $E$13)</f>
        <v>16.4848</v>
      </c>
      <c r="F930" s="61">
        <f>16.4848 * CHOOSE(CONTROL!$C$19, $C$13, 100%, $E$13)</f>
        <v>16.4848</v>
      </c>
      <c r="G930" s="61">
        <f>16.485 * CHOOSE(CONTROL!$C$19, $C$13, 100%, $E$13)</f>
        <v>16.484999999999999</v>
      </c>
      <c r="H930" s="61">
        <f>22.9505* CHOOSE(CONTROL!$C$19, $C$13, 100%, $E$13)</f>
        <v>22.950500000000002</v>
      </c>
      <c r="I930" s="61">
        <f>22.9507 * CHOOSE(CONTROL!$C$19, $C$13, 100%, $E$13)</f>
        <v>22.950700000000001</v>
      </c>
      <c r="J930" s="61">
        <f>16.4848 * CHOOSE(CONTROL!$C$19, $C$13, 100%, $E$13)</f>
        <v>16.4848</v>
      </c>
      <c r="K930" s="61">
        <f>16.485 * CHOOSE(CONTROL!$C$19, $C$13, 100%, $E$13)</f>
        <v>16.484999999999999</v>
      </c>
    </row>
    <row r="931" spans="1:11" ht="15">
      <c r="A931" s="13">
        <v>70189</v>
      </c>
      <c r="B931" s="60">
        <f>13.8333 * CHOOSE(CONTROL!$C$19, $C$13, 100%, $E$13)</f>
        <v>13.833299999999999</v>
      </c>
      <c r="C931" s="60">
        <f>13.8333 * CHOOSE(CONTROL!$C$19, $C$13, 100%, $E$13)</f>
        <v>13.833299999999999</v>
      </c>
      <c r="D931" s="60">
        <f>13.8485 * CHOOSE(CONTROL!$C$19, $C$13, 100%, $E$13)</f>
        <v>13.8485</v>
      </c>
      <c r="E931" s="61">
        <f>16.7026 * CHOOSE(CONTROL!$C$19, $C$13, 100%, $E$13)</f>
        <v>16.7026</v>
      </c>
      <c r="F931" s="61">
        <f>16.7026 * CHOOSE(CONTROL!$C$19, $C$13, 100%, $E$13)</f>
        <v>16.7026</v>
      </c>
      <c r="G931" s="61">
        <f>16.7028 * CHOOSE(CONTROL!$C$19, $C$13, 100%, $E$13)</f>
        <v>16.7028</v>
      </c>
      <c r="H931" s="61">
        <f>22.9983* CHOOSE(CONTROL!$C$19, $C$13, 100%, $E$13)</f>
        <v>22.9983</v>
      </c>
      <c r="I931" s="61">
        <f>22.9985 * CHOOSE(CONTROL!$C$19, $C$13, 100%, $E$13)</f>
        <v>22.9985</v>
      </c>
      <c r="J931" s="61">
        <f>16.7026 * CHOOSE(CONTROL!$C$19, $C$13, 100%, $E$13)</f>
        <v>16.7026</v>
      </c>
      <c r="K931" s="61">
        <f>16.7028 * CHOOSE(CONTROL!$C$19, $C$13, 100%, $E$13)</f>
        <v>16.7028</v>
      </c>
    </row>
    <row r="932" spans="1:11" ht="15">
      <c r="A932" s="13">
        <v>70220</v>
      </c>
      <c r="B932" s="60">
        <f>13.8407 * CHOOSE(CONTROL!$C$19, $C$13, 100%, $E$13)</f>
        <v>13.8407</v>
      </c>
      <c r="C932" s="60">
        <f>13.8407 * CHOOSE(CONTROL!$C$19, $C$13, 100%, $E$13)</f>
        <v>13.8407</v>
      </c>
      <c r="D932" s="60">
        <f>13.8558 * CHOOSE(CONTROL!$C$19, $C$13, 100%, $E$13)</f>
        <v>13.8558</v>
      </c>
      <c r="E932" s="61">
        <f>16.9346 * CHOOSE(CONTROL!$C$19, $C$13, 100%, $E$13)</f>
        <v>16.9346</v>
      </c>
      <c r="F932" s="61">
        <f>16.9346 * CHOOSE(CONTROL!$C$19, $C$13, 100%, $E$13)</f>
        <v>16.9346</v>
      </c>
      <c r="G932" s="61">
        <f>16.9348 * CHOOSE(CONTROL!$C$19, $C$13, 100%, $E$13)</f>
        <v>16.934799999999999</v>
      </c>
      <c r="H932" s="61">
        <f>23.0462* CHOOSE(CONTROL!$C$19, $C$13, 100%, $E$13)</f>
        <v>23.046199999999999</v>
      </c>
      <c r="I932" s="61">
        <f>23.0464 * CHOOSE(CONTROL!$C$19, $C$13, 100%, $E$13)</f>
        <v>23.046399999999998</v>
      </c>
      <c r="J932" s="61">
        <f>16.9346 * CHOOSE(CONTROL!$C$19, $C$13, 100%, $E$13)</f>
        <v>16.9346</v>
      </c>
      <c r="K932" s="61">
        <f>16.9348 * CHOOSE(CONTROL!$C$19, $C$13, 100%, $E$13)</f>
        <v>16.934799999999999</v>
      </c>
    </row>
    <row r="933" spans="1:11" ht="15">
      <c r="A933" s="13">
        <v>70250</v>
      </c>
      <c r="B933" s="60">
        <f>13.8407 * CHOOSE(CONTROL!$C$19, $C$13, 100%, $E$13)</f>
        <v>13.8407</v>
      </c>
      <c r="C933" s="60">
        <f>13.8407 * CHOOSE(CONTROL!$C$19, $C$13, 100%, $E$13)</f>
        <v>13.8407</v>
      </c>
      <c r="D933" s="60">
        <f>13.871 * CHOOSE(CONTROL!$C$19, $C$13, 100%, $E$13)</f>
        <v>13.871</v>
      </c>
      <c r="E933" s="61">
        <f>17.0232 * CHOOSE(CONTROL!$C$19, $C$13, 100%, $E$13)</f>
        <v>17.023199999999999</v>
      </c>
      <c r="F933" s="61">
        <f>17.0232 * CHOOSE(CONTROL!$C$19, $C$13, 100%, $E$13)</f>
        <v>17.023199999999999</v>
      </c>
      <c r="G933" s="61">
        <f>17.0251 * CHOOSE(CONTROL!$C$19, $C$13, 100%, $E$13)</f>
        <v>17.025099999999998</v>
      </c>
      <c r="H933" s="61">
        <f>23.0942* CHOOSE(CONTROL!$C$19, $C$13, 100%, $E$13)</f>
        <v>23.094200000000001</v>
      </c>
      <c r="I933" s="61">
        <f>23.0961 * CHOOSE(CONTROL!$C$19, $C$13, 100%, $E$13)</f>
        <v>23.0961</v>
      </c>
      <c r="J933" s="61">
        <f>17.0232 * CHOOSE(CONTROL!$C$19, $C$13, 100%, $E$13)</f>
        <v>17.023199999999999</v>
      </c>
      <c r="K933" s="61">
        <f>17.0251 * CHOOSE(CONTROL!$C$19, $C$13, 100%, $E$13)</f>
        <v>17.025099999999998</v>
      </c>
    </row>
    <row r="934" spans="1:11" ht="15">
      <c r="A934" s="13">
        <v>70281</v>
      </c>
      <c r="B934" s="60">
        <f>13.8467 * CHOOSE(CONTROL!$C$19, $C$13, 100%, $E$13)</f>
        <v>13.8467</v>
      </c>
      <c r="C934" s="60">
        <f>13.8467 * CHOOSE(CONTROL!$C$19, $C$13, 100%, $E$13)</f>
        <v>13.8467</v>
      </c>
      <c r="D934" s="60">
        <f>13.8771 * CHOOSE(CONTROL!$C$19, $C$13, 100%, $E$13)</f>
        <v>13.8771</v>
      </c>
      <c r="E934" s="61">
        <f>16.9388 * CHOOSE(CONTROL!$C$19, $C$13, 100%, $E$13)</f>
        <v>16.938800000000001</v>
      </c>
      <c r="F934" s="61">
        <f>16.9388 * CHOOSE(CONTROL!$C$19, $C$13, 100%, $E$13)</f>
        <v>16.938800000000001</v>
      </c>
      <c r="G934" s="61">
        <f>16.9407 * CHOOSE(CONTROL!$C$19, $C$13, 100%, $E$13)</f>
        <v>16.9407</v>
      </c>
      <c r="H934" s="61">
        <f>23.1423* CHOOSE(CONTROL!$C$19, $C$13, 100%, $E$13)</f>
        <v>23.142299999999999</v>
      </c>
      <c r="I934" s="61">
        <f>23.1442 * CHOOSE(CONTROL!$C$19, $C$13, 100%, $E$13)</f>
        <v>23.144200000000001</v>
      </c>
      <c r="J934" s="61">
        <f>16.9388 * CHOOSE(CONTROL!$C$19, $C$13, 100%, $E$13)</f>
        <v>16.938800000000001</v>
      </c>
      <c r="K934" s="61">
        <f>16.9407 * CHOOSE(CONTROL!$C$19, $C$13, 100%, $E$13)</f>
        <v>16.9407</v>
      </c>
    </row>
    <row r="935" spans="1:11" ht="15">
      <c r="A935" s="13">
        <v>70311</v>
      </c>
      <c r="B935" s="60">
        <f>14.0374 * CHOOSE(CONTROL!$C$19, $C$13, 100%, $E$13)</f>
        <v>14.0374</v>
      </c>
      <c r="C935" s="60">
        <f>14.0374 * CHOOSE(CONTROL!$C$19, $C$13, 100%, $E$13)</f>
        <v>14.0374</v>
      </c>
      <c r="D935" s="60">
        <f>14.0678 * CHOOSE(CONTROL!$C$19, $C$13, 100%, $E$13)</f>
        <v>14.0678</v>
      </c>
      <c r="E935" s="61">
        <f>17.2449 * CHOOSE(CONTROL!$C$19, $C$13, 100%, $E$13)</f>
        <v>17.244900000000001</v>
      </c>
      <c r="F935" s="61">
        <f>17.2449 * CHOOSE(CONTROL!$C$19, $C$13, 100%, $E$13)</f>
        <v>17.244900000000001</v>
      </c>
      <c r="G935" s="61">
        <f>17.2468 * CHOOSE(CONTROL!$C$19, $C$13, 100%, $E$13)</f>
        <v>17.2468</v>
      </c>
      <c r="H935" s="61">
        <f>23.1906* CHOOSE(CONTROL!$C$19, $C$13, 100%, $E$13)</f>
        <v>23.1906</v>
      </c>
      <c r="I935" s="61">
        <f>23.1925 * CHOOSE(CONTROL!$C$19, $C$13, 100%, $E$13)</f>
        <v>23.192499999999999</v>
      </c>
      <c r="J935" s="61">
        <f>17.2449 * CHOOSE(CONTROL!$C$19, $C$13, 100%, $E$13)</f>
        <v>17.244900000000001</v>
      </c>
      <c r="K935" s="61">
        <f>17.2468 * CHOOSE(CONTROL!$C$19, $C$13, 100%, $E$13)</f>
        <v>17.2468</v>
      </c>
    </row>
    <row r="936" spans="1:11" ht="15">
      <c r="A936" s="13">
        <v>70342</v>
      </c>
      <c r="B936" s="60">
        <f>14.0441 * CHOOSE(CONTROL!$C$19, $C$13, 100%, $E$13)</f>
        <v>14.0441</v>
      </c>
      <c r="C936" s="60">
        <f>14.0441 * CHOOSE(CONTROL!$C$19, $C$13, 100%, $E$13)</f>
        <v>14.0441</v>
      </c>
      <c r="D936" s="60">
        <f>14.0745 * CHOOSE(CONTROL!$C$19, $C$13, 100%, $E$13)</f>
        <v>14.0745</v>
      </c>
      <c r="E936" s="61">
        <f>16.9838 * CHOOSE(CONTROL!$C$19, $C$13, 100%, $E$13)</f>
        <v>16.983799999999999</v>
      </c>
      <c r="F936" s="61">
        <f>16.9838 * CHOOSE(CONTROL!$C$19, $C$13, 100%, $E$13)</f>
        <v>16.983799999999999</v>
      </c>
      <c r="G936" s="61">
        <f>16.9857 * CHOOSE(CONTROL!$C$19, $C$13, 100%, $E$13)</f>
        <v>16.985700000000001</v>
      </c>
      <c r="H936" s="61">
        <f>23.2389* CHOOSE(CONTROL!$C$19, $C$13, 100%, $E$13)</f>
        <v>23.238900000000001</v>
      </c>
      <c r="I936" s="61">
        <f>23.2408 * CHOOSE(CONTROL!$C$19, $C$13, 100%, $E$13)</f>
        <v>23.2408</v>
      </c>
      <c r="J936" s="61">
        <f>16.9838 * CHOOSE(CONTROL!$C$19, $C$13, 100%, $E$13)</f>
        <v>16.983799999999999</v>
      </c>
      <c r="K936" s="61">
        <f>16.9857 * CHOOSE(CONTROL!$C$19, $C$13, 100%, $E$13)</f>
        <v>16.985700000000001</v>
      </c>
    </row>
    <row r="937" spans="1:11" ht="15">
      <c r="A937" s="13">
        <v>70373</v>
      </c>
      <c r="B937" s="60">
        <f>14.0411 * CHOOSE(CONTROL!$C$19, $C$13, 100%, $E$13)</f>
        <v>14.0411</v>
      </c>
      <c r="C937" s="60">
        <f>14.0411 * CHOOSE(CONTROL!$C$19, $C$13, 100%, $E$13)</f>
        <v>14.0411</v>
      </c>
      <c r="D937" s="60">
        <f>14.0714 * CHOOSE(CONTROL!$C$19, $C$13, 100%, $E$13)</f>
        <v>14.071400000000001</v>
      </c>
      <c r="E937" s="61">
        <f>16.9522 * CHOOSE(CONTROL!$C$19, $C$13, 100%, $E$13)</f>
        <v>16.952200000000001</v>
      </c>
      <c r="F937" s="61">
        <f>16.9522 * CHOOSE(CONTROL!$C$19, $C$13, 100%, $E$13)</f>
        <v>16.952200000000001</v>
      </c>
      <c r="G937" s="61">
        <f>16.9541 * CHOOSE(CONTROL!$C$19, $C$13, 100%, $E$13)</f>
        <v>16.9541</v>
      </c>
      <c r="H937" s="61">
        <f>23.2873* CHOOSE(CONTROL!$C$19, $C$13, 100%, $E$13)</f>
        <v>23.287299999999998</v>
      </c>
      <c r="I937" s="61">
        <f>23.2892 * CHOOSE(CONTROL!$C$19, $C$13, 100%, $E$13)</f>
        <v>23.289200000000001</v>
      </c>
      <c r="J937" s="61">
        <f>16.9522 * CHOOSE(CONTROL!$C$19, $C$13, 100%, $E$13)</f>
        <v>16.952200000000001</v>
      </c>
      <c r="K937" s="61">
        <f>16.9541 * CHOOSE(CONTROL!$C$19, $C$13, 100%, $E$13)</f>
        <v>16.9541</v>
      </c>
    </row>
    <row r="938" spans="1:11" ht="15">
      <c r="A938" s="13">
        <v>70403</v>
      </c>
      <c r="B938" s="60">
        <f>14.0743 * CHOOSE(CONTROL!$C$19, $C$13, 100%, $E$13)</f>
        <v>14.074299999999999</v>
      </c>
      <c r="C938" s="60">
        <f>14.0743 * CHOOSE(CONTROL!$C$19, $C$13, 100%, $E$13)</f>
        <v>14.074299999999999</v>
      </c>
      <c r="D938" s="60">
        <f>14.0894 * CHOOSE(CONTROL!$C$19, $C$13, 100%, $E$13)</f>
        <v>14.089399999999999</v>
      </c>
      <c r="E938" s="61">
        <f>17.0569 * CHOOSE(CONTROL!$C$19, $C$13, 100%, $E$13)</f>
        <v>17.056899999999999</v>
      </c>
      <c r="F938" s="61">
        <f>17.0569 * CHOOSE(CONTROL!$C$19, $C$13, 100%, $E$13)</f>
        <v>17.056899999999999</v>
      </c>
      <c r="G938" s="61">
        <f>17.057 * CHOOSE(CONTROL!$C$19, $C$13, 100%, $E$13)</f>
        <v>17.056999999999999</v>
      </c>
      <c r="H938" s="61">
        <f>23.3358* CHOOSE(CONTROL!$C$19, $C$13, 100%, $E$13)</f>
        <v>23.335799999999999</v>
      </c>
      <c r="I938" s="61">
        <f>23.336 * CHOOSE(CONTROL!$C$19, $C$13, 100%, $E$13)</f>
        <v>23.335999999999999</v>
      </c>
      <c r="J938" s="61">
        <f>17.0569 * CHOOSE(CONTROL!$C$19, $C$13, 100%, $E$13)</f>
        <v>17.056899999999999</v>
      </c>
      <c r="K938" s="61">
        <f>17.057 * CHOOSE(CONTROL!$C$19, $C$13, 100%, $E$13)</f>
        <v>17.056999999999999</v>
      </c>
    </row>
    <row r="939" spans="1:11" ht="15">
      <c r="A939" s="13">
        <v>70434</v>
      </c>
      <c r="B939" s="60">
        <f>14.0773 * CHOOSE(CONTROL!$C$19, $C$13, 100%, $E$13)</f>
        <v>14.077299999999999</v>
      </c>
      <c r="C939" s="60">
        <f>14.0773 * CHOOSE(CONTROL!$C$19, $C$13, 100%, $E$13)</f>
        <v>14.077299999999999</v>
      </c>
      <c r="D939" s="60">
        <f>14.0925 * CHOOSE(CONTROL!$C$19, $C$13, 100%, $E$13)</f>
        <v>14.092499999999999</v>
      </c>
      <c r="E939" s="61">
        <f>17.118 * CHOOSE(CONTROL!$C$19, $C$13, 100%, $E$13)</f>
        <v>17.117999999999999</v>
      </c>
      <c r="F939" s="61">
        <f>17.118 * CHOOSE(CONTROL!$C$19, $C$13, 100%, $E$13)</f>
        <v>17.117999999999999</v>
      </c>
      <c r="G939" s="61">
        <f>17.1182 * CHOOSE(CONTROL!$C$19, $C$13, 100%, $E$13)</f>
        <v>17.118200000000002</v>
      </c>
      <c r="H939" s="61">
        <f>23.3844* CHOOSE(CONTROL!$C$19, $C$13, 100%, $E$13)</f>
        <v>23.384399999999999</v>
      </c>
      <c r="I939" s="61">
        <f>23.3846 * CHOOSE(CONTROL!$C$19, $C$13, 100%, $E$13)</f>
        <v>23.384599999999999</v>
      </c>
      <c r="J939" s="61">
        <f>17.118 * CHOOSE(CONTROL!$C$19, $C$13, 100%, $E$13)</f>
        <v>17.117999999999999</v>
      </c>
      <c r="K939" s="61">
        <f>17.1182 * CHOOSE(CONTROL!$C$19, $C$13, 100%, $E$13)</f>
        <v>17.118200000000002</v>
      </c>
    </row>
    <row r="940" spans="1:11" ht="15">
      <c r="A940" s="13">
        <v>70464</v>
      </c>
      <c r="B940" s="60">
        <f>14.0773 * CHOOSE(CONTROL!$C$19, $C$13, 100%, $E$13)</f>
        <v>14.077299999999999</v>
      </c>
      <c r="C940" s="60">
        <f>14.0773 * CHOOSE(CONTROL!$C$19, $C$13, 100%, $E$13)</f>
        <v>14.077299999999999</v>
      </c>
      <c r="D940" s="60">
        <f>14.0925 * CHOOSE(CONTROL!$C$19, $C$13, 100%, $E$13)</f>
        <v>14.092499999999999</v>
      </c>
      <c r="E940" s="61">
        <f>16.9704 * CHOOSE(CONTROL!$C$19, $C$13, 100%, $E$13)</f>
        <v>16.970400000000001</v>
      </c>
      <c r="F940" s="61">
        <f>16.9704 * CHOOSE(CONTROL!$C$19, $C$13, 100%, $E$13)</f>
        <v>16.970400000000001</v>
      </c>
      <c r="G940" s="61">
        <f>16.9706 * CHOOSE(CONTROL!$C$19, $C$13, 100%, $E$13)</f>
        <v>16.970600000000001</v>
      </c>
      <c r="H940" s="61">
        <f>23.4331* CHOOSE(CONTROL!$C$19, $C$13, 100%, $E$13)</f>
        <v>23.4331</v>
      </c>
      <c r="I940" s="61">
        <f>23.4333 * CHOOSE(CONTROL!$C$19, $C$13, 100%, $E$13)</f>
        <v>23.433299999999999</v>
      </c>
      <c r="J940" s="61">
        <f>16.9704 * CHOOSE(CONTROL!$C$19, $C$13, 100%, $E$13)</f>
        <v>16.970400000000001</v>
      </c>
      <c r="K940" s="61">
        <f>16.9706 * CHOOSE(CONTROL!$C$19, $C$13, 100%, $E$13)</f>
        <v>16.970600000000001</v>
      </c>
    </row>
    <row r="941" spans="1:11" ht="15">
      <c r="A941" s="13">
        <v>70495</v>
      </c>
      <c r="B941" s="60">
        <f>14.036 * CHOOSE(CONTROL!$C$19, $C$13, 100%, $E$13)</f>
        <v>14.036</v>
      </c>
      <c r="C941" s="60">
        <f>14.036 * CHOOSE(CONTROL!$C$19, $C$13, 100%, $E$13)</f>
        <v>14.036</v>
      </c>
      <c r="D941" s="60">
        <f>14.0512 * CHOOSE(CONTROL!$C$19, $C$13, 100%, $E$13)</f>
        <v>14.0512</v>
      </c>
      <c r="E941" s="61">
        <f>17.0178 * CHOOSE(CONTROL!$C$19, $C$13, 100%, $E$13)</f>
        <v>17.017800000000001</v>
      </c>
      <c r="F941" s="61">
        <f>17.0178 * CHOOSE(CONTROL!$C$19, $C$13, 100%, $E$13)</f>
        <v>17.017800000000001</v>
      </c>
      <c r="G941" s="61">
        <f>17.0179 * CHOOSE(CONTROL!$C$19, $C$13, 100%, $E$13)</f>
        <v>17.017900000000001</v>
      </c>
      <c r="H941" s="61">
        <f>23.2274* CHOOSE(CONTROL!$C$19, $C$13, 100%, $E$13)</f>
        <v>23.227399999999999</v>
      </c>
      <c r="I941" s="61">
        <f>23.2276 * CHOOSE(CONTROL!$C$19, $C$13, 100%, $E$13)</f>
        <v>23.227599999999999</v>
      </c>
      <c r="J941" s="61">
        <f>17.0178 * CHOOSE(CONTROL!$C$19, $C$13, 100%, $E$13)</f>
        <v>17.017800000000001</v>
      </c>
      <c r="K941" s="61">
        <f>17.0179 * CHOOSE(CONTROL!$C$19, $C$13, 100%, $E$13)</f>
        <v>17.017900000000001</v>
      </c>
    </row>
    <row r="942" spans="1:11" ht="15">
      <c r="A942" s="13">
        <v>70526</v>
      </c>
      <c r="B942" s="60">
        <f>14.033 * CHOOSE(CONTROL!$C$19, $C$13, 100%, $E$13)</f>
        <v>14.032999999999999</v>
      </c>
      <c r="C942" s="60">
        <f>14.033 * CHOOSE(CONTROL!$C$19, $C$13, 100%, $E$13)</f>
        <v>14.032999999999999</v>
      </c>
      <c r="D942" s="60">
        <f>14.0482 * CHOOSE(CONTROL!$C$19, $C$13, 100%, $E$13)</f>
        <v>14.0482</v>
      </c>
      <c r="E942" s="61">
        <f>16.7322 * CHOOSE(CONTROL!$C$19, $C$13, 100%, $E$13)</f>
        <v>16.732199999999999</v>
      </c>
      <c r="F942" s="61">
        <f>16.7322 * CHOOSE(CONTROL!$C$19, $C$13, 100%, $E$13)</f>
        <v>16.732199999999999</v>
      </c>
      <c r="G942" s="61">
        <f>16.7324 * CHOOSE(CONTROL!$C$19, $C$13, 100%, $E$13)</f>
        <v>16.732399999999998</v>
      </c>
      <c r="H942" s="61">
        <f>23.2758* CHOOSE(CONTROL!$C$19, $C$13, 100%, $E$13)</f>
        <v>23.2758</v>
      </c>
      <c r="I942" s="61">
        <f>23.276 * CHOOSE(CONTROL!$C$19, $C$13, 100%, $E$13)</f>
        <v>23.276</v>
      </c>
      <c r="J942" s="61">
        <f>16.7322 * CHOOSE(CONTROL!$C$19, $C$13, 100%, $E$13)</f>
        <v>16.732199999999999</v>
      </c>
      <c r="K942" s="61">
        <f>16.7324 * CHOOSE(CONTROL!$C$19, $C$13, 100%, $E$13)</f>
        <v>16.732399999999998</v>
      </c>
    </row>
    <row r="943" spans="1:11" ht="15">
      <c r="A943" s="13">
        <v>70554</v>
      </c>
      <c r="B943" s="60">
        <f>14.0299 * CHOOSE(CONTROL!$C$19, $C$13, 100%, $E$13)</f>
        <v>14.0299</v>
      </c>
      <c r="C943" s="60">
        <f>14.0299 * CHOOSE(CONTROL!$C$19, $C$13, 100%, $E$13)</f>
        <v>14.0299</v>
      </c>
      <c r="D943" s="60">
        <f>14.0451 * CHOOSE(CONTROL!$C$19, $C$13, 100%, $E$13)</f>
        <v>14.0451</v>
      </c>
      <c r="E943" s="61">
        <f>16.9535 * CHOOSE(CONTROL!$C$19, $C$13, 100%, $E$13)</f>
        <v>16.953499999999998</v>
      </c>
      <c r="F943" s="61">
        <f>16.9535 * CHOOSE(CONTROL!$C$19, $C$13, 100%, $E$13)</f>
        <v>16.953499999999998</v>
      </c>
      <c r="G943" s="61">
        <f>16.9537 * CHOOSE(CONTROL!$C$19, $C$13, 100%, $E$13)</f>
        <v>16.953700000000001</v>
      </c>
      <c r="H943" s="61">
        <f>23.3243* CHOOSE(CONTROL!$C$19, $C$13, 100%, $E$13)</f>
        <v>23.324300000000001</v>
      </c>
      <c r="I943" s="61">
        <f>23.3245 * CHOOSE(CONTROL!$C$19, $C$13, 100%, $E$13)</f>
        <v>23.3245</v>
      </c>
      <c r="J943" s="61">
        <f>16.9535 * CHOOSE(CONTROL!$C$19, $C$13, 100%, $E$13)</f>
        <v>16.953499999999998</v>
      </c>
      <c r="K943" s="61">
        <f>16.9537 * CHOOSE(CONTROL!$C$19, $C$13, 100%, $E$13)</f>
        <v>16.953700000000001</v>
      </c>
    </row>
    <row r="944" spans="1:11" ht="15">
      <c r="A944" s="13">
        <v>70585</v>
      </c>
      <c r="B944" s="60">
        <f>14.0375 * CHOOSE(CONTROL!$C$19, $C$13, 100%, $E$13)</f>
        <v>14.0375</v>
      </c>
      <c r="C944" s="60">
        <f>14.0375 * CHOOSE(CONTROL!$C$19, $C$13, 100%, $E$13)</f>
        <v>14.0375</v>
      </c>
      <c r="D944" s="60">
        <f>14.0527 * CHOOSE(CONTROL!$C$19, $C$13, 100%, $E$13)</f>
        <v>14.0527</v>
      </c>
      <c r="E944" s="61">
        <f>17.1893 * CHOOSE(CONTROL!$C$19, $C$13, 100%, $E$13)</f>
        <v>17.189299999999999</v>
      </c>
      <c r="F944" s="61">
        <f>17.1893 * CHOOSE(CONTROL!$C$19, $C$13, 100%, $E$13)</f>
        <v>17.189299999999999</v>
      </c>
      <c r="G944" s="61">
        <f>17.1894 * CHOOSE(CONTROL!$C$19, $C$13, 100%, $E$13)</f>
        <v>17.189399999999999</v>
      </c>
      <c r="H944" s="61">
        <f>23.3729* CHOOSE(CONTROL!$C$19, $C$13, 100%, $E$13)</f>
        <v>23.372900000000001</v>
      </c>
      <c r="I944" s="61">
        <f>23.3731 * CHOOSE(CONTROL!$C$19, $C$13, 100%, $E$13)</f>
        <v>23.373100000000001</v>
      </c>
      <c r="J944" s="61">
        <f>17.1893 * CHOOSE(CONTROL!$C$19, $C$13, 100%, $E$13)</f>
        <v>17.189299999999999</v>
      </c>
      <c r="K944" s="61">
        <f>17.1894 * CHOOSE(CONTROL!$C$19, $C$13, 100%, $E$13)</f>
        <v>17.189399999999999</v>
      </c>
    </row>
    <row r="945" spans="1:11" ht="15">
      <c r="A945" s="13">
        <v>70615</v>
      </c>
      <c r="B945" s="60">
        <f>14.0375 * CHOOSE(CONTROL!$C$19, $C$13, 100%, $E$13)</f>
        <v>14.0375</v>
      </c>
      <c r="C945" s="60">
        <f>14.0375 * CHOOSE(CONTROL!$C$19, $C$13, 100%, $E$13)</f>
        <v>14.0375</v>
      </c>
      <c r="D945" s="60">
        <f>14.0678 * CHOOSE(CONTROL!$C$19, $C$13, 100%, $E$13)</f>
        <v>14.0678</v>
      </c>
      <c r="E945" s="61">
        <f>17.2792 * CHOOSE(CONTROL!$C$19, $C$13, 100%, $E$13)</f>
        <v>17.279199999999999</v>
      </c>
      <c r="F945" s="61">
        <f>17.2792 * CHOOSE(CONTROL!$C$19, $C$13, 100%, $E$13)</f>
        <v>17.279199999999999</v>
      </c>
      <c r="G945" s="61">
        <f>17.2811 * CHOOSE(CONTROL!$C$19, $C$13, 100%, $E$13)</f>
        <v>17.281099999999999</v>
      </c>
      <c r="H945" s="61">
        <f>23.4216* CHOOSE(CONTROL!$C$19, $C$13, 100%, $E$13)</f>
        <v>23.421600000000002</v>
      </c>
      <c r="I945" s="61">
        <f>23.4235 * CHOOSE(CONTROL!$C$19, $C$13, 100%, $E$13)</f>
        <v>23.423500000000001</v>
      </c>
      <c r="J945" s="61">
        <f>17.2792 * CHOOSE(CONTROL!$C$19, $C$13, 100%, $E$13)</f>
        <v>17.279199999999999</v>
      </c>
      <c r="K945" s="61">
        <f>17.2811 * CHOOSE(CONTROL!$C$19, $C$13, 100%, $E$13)</f>
        <v>17.281099999999999</v>
      </c>
    </row>
    <row r="946" spans="1:11" ht="15">
      <c r="A946" s="13">
        <v>70646</v>
      </c>
      <c r="B946" s="60">
        <f>14.0436 * CHOOSE(CONTROL!$C$19, $C$13, 100%, $E$13)</f>
        <v>14.0436</v>
      </c>
      <c r="C946" s="60">
        <f>14.0436 * CHOOSE(CONTROL!$C$19, $C$13, 100%, $E$13)</f>
        <v>14.0436</v>
      </c>
      <c r="D946" s="60">
        <f>14.0739 * CHOOSE(CONTROL!$C$19, $C$13, 100%, $E$13)</f>
        <v>14.0739</v>
      </c>
      <c r="E946" s="61">
        <f>17.1935 * CHOOSE(CONTROL!$C$19, $C$13, 100%, $E$13)</f>
        <v>17.1935</v>
      </c>
      <c r="F946" s="61">
        <f>17.1935 * CHOOSE(CONTROL!$C$19, $C$13, 100%, $E$13)</f>
        <v>17.1935</v>
      </c>
      <c r="G946" s="61">
        <f>17.1954 * CHOOSE(CONTROL!$C$19, $C$13, 100%, $E$13)</f>
        <v>17.195399999999999</v>
      </c>
      <c r="H946" s="61">
        <f>23.4704* CHOOSE(CONTROL!$C$19, $C$13, 100%, $E$13)</f>
        <v>23.470400000000001</v>
      </c>
      <c r="I946" s="61">
        <f>23.4723 * CHOOSE(CONTROL!$C$19, $C$13, 100%, $E$13)</f>
        <v>23.472300000000001</v>
      </c>
      <c r="J946" s="61">
        <f>17.1935 * CHOOSE(CONTROL!$C$19, $C$13, 100%, $E$13)</f>
        <v>17.1935</v>
      </c>
      <c r="K946" s="61">
        <f>17.1954 * CHOOSE(CONTROL!$C$19, $C$13, 100%, $E$13)</f>
        <v>17.195399999999999</v>
      </c>
    </row>
    <row r="947" spans="1:11" ht="15">
      <c r="A947" s="13">
        <v>70676</v>
      </c>
      <c r="B947" s="60">
        <f>14.2367 * CHOOSE(CONTROL!$C$19, $C$13, 100%, $E$13)</f>
        <v>14.236700000000001</v>
      </c>
      <c r="C947" s="60">
        <f>14.2367 * CHOOSE(CONTROL!$C$19, $C$13, 100%, $E$13)</f>
        <v>14.236700000000001</v>
      </c>
      <c r="D947" s="60">
        <f>14.2671 * CHOOSE(CONTROL!$C$19, $C$13, 100%, $E$13)</f>
        <v>14.267099999999999</v>
      </c>
      <c r="E947" s="61">
        <f>17.504 * CHOOSE(CONTROL!$C$19, $C$13, 100%, $E$13)</f>
        <v>17.504000000000001</v>
      </c>
      <c r="F947" s="61">
        <f>17.504 * CHOOSE(CONTROL!$C$19, $C$13, 100%, $E$13)</f>
        <v>17.504000000000001</v>
      </c>
      <c r="G947" s="61">
        <f>17.5059 * CHOOSE(CONTROL!$C$19, $C$13, 100%, $E$13)</f>
        <v>17.5059</v>
      </c>
      <c r="H947" s="61">
        <f>23.5193* CHOOSE(CONTROL!$C$19, $C$13, 100%, $E$13)</f>
        <v>23.519300000000001</v>
      </c>
      <c r="I947" s="61">
        <f>23.5212 * CHOOSE(CONTROL!$C$19, $C$13, 100%, $E$13)</f>
        <v>23.5212</v>
      </c>
      <c r="J947" s="61">
        <f>17.504 * CHOOSE(CONTROL!$C$19, $C$13, 100%, $E$13)</f>
        <v>17.504000000000001</v>
      </c>
      <c r="K947" s="61">
        <f>17.5059 * CHOOSE(CONTROL!$C$19, $C$13, 100%, $E$13)</f>
        <v>17.5059</v>
      </c>
    </row>
    <row r="948" spans="1:11" ht="15">
      <c r="A948" s="13">
        <v>70707</v>
      </c>
      <c r="B948" s="60">
        <f>14.2434 * CHOOSE(CONTROL!$C$19, $C$13, 100%, $E$13)</f>
        <v>14.243399999999999</v>
      </c>
      <c r="C948" s="60">
        <f>14.2434 * CHOOSE(CONTROL!$C$19, $C$13, 100%, $E$13)</f>
        <v>14.243399999999999</v>
      </c>
      <c r="D948" s="60">
        <f>14.2738 * CHOOSE(CONTROL!$C$19, $C$13, 100%, $E$13)</f>
        <v>14.2738</v>
      </c>
      <c r="E948" s="61">
        <f>17.2387 * CHOOSE(CONTROL!$C$19, $C$13, 100%, $E$13)</f>
        <v>17.238700000000001</v>
      </c>
      <c r="F948" s="61">
        <f>17.2387 * CHOOSE(CONTROL!$C$19, $C$13, 100%, $E$13)</f>
        <v>17.238700000000001</v>
      </c>
      <c r="G948" s="61">
        <f>17.2406 * CHOOSE(CONTROL!$C$19, $C$13, 100%, $E$13)</f>
        <v>17.240600000000001</v>
      </c>
      <c r="H948" s="61">
        <f>23.5683* CHOOSE(CONTROL!$C$19, $C$13, 100%, $E$13)</f>
        <v>23.568300000000001</v>
      </c>
      <c r="I948" s="61">
        <f>23.5702 * CHOOSE(CONTROL!$C$19, $C$13, 100%, $E$13)</f>
        <v>23.5702</v>
      </c>
      <c r="J948" s="61">
        <f>17.2387 * CHOOSE(CONTROL!$C$19, $C$13, 100%, $E$13)</f>
        <v>17.238700000000001</v>
      </c>
      <c r="K948" s="61">
        <f>17.2406 * CHOOSE(CONTROL!$C$19, $C$13, 100%, $E$13)</f>
        <v>17.240600000000001</v>
      </c>
    </row>
    <row r="949" spans="1:11" ht="15">
      <c r="A949" s="13">
        <v>70738</v>
      </c>
      <c r="B949" s="60">
        <f>14.2404 * CHOOSE(CONTROL!$C$19, $C$13, 100%, $E$13)</f>
        <v>14.240399999999999</v>
      </c>
      <c r="C949" s="60">
        <f>14.2404 * CHOOSE(CONTROL!$C$19, $C$13, 100%, $E$13)</f>
        <v>14.240399999999999</v>
      </c>
      <c r="D949" s="60">
        <f>14.2707 * CHOOSE(CONTROL!$C$19, $C$13, 100%, $E$13)</f>
        <v>14.2707</v>
      </c>
      <c r="E949" s="61">
        <f>17.2066 * CHOOSE(CONTROL!$C$19, $C$13, 100%, $E$13)</f>
        <v>17.206600000000002</v>
      </c>
      <c r="F949" s="61">
        <f>17.2066 * CHOOSE(CONTROL!$C$19, $C$13, 100%, $E$13)</f>
        <v>17.206600000000002</v>
      </c>
      <c r="G949" s="61">
        <f>17.2085 * CHOOSE(CONTROL!$C$19, $C$13, 100%, $E$13)</f>
        <v>17.208500000000001</v>
      </c>
      <c r="H949" s="61">
        <f>23.6174* CHOOSE(CONTROL!$C$19, $C$13, 100%, $E$13)</f>
        <v>23.6174</v>
      </c>
      <c r="I949" s="61">
        <f>23.6193 * CHOOSE(CONTROL!$C$19, $C$13, 100%, $E$13)</f>
        <v>23.619299999999999</v>
      </c>
      <c r="J949" s="61">
        <f>17.2066 * CHOOSE(CONTROL!$C$19, $C$13, 100%, $E$13)</f>
        <v>17.206600000000002</v>
      </c>
      <c r="K949" s="61">
        <f>17.2085 * CHOOSE(CONTROL!$C$19, $C$13, 100%, $E$13)</f>
        <v>17.208500000000001</v>
      </c>
    </row>
    <row r="950" spans="1:11" ht="15">
      <c r="A950" s="13">
        <v>70768</v>
      </c>
      <c r="B950" s="60">
        <f>14.2743 * CHOOSE(CONTROL!$C$19, $C$13, 100%, $E$13)</f>
        <v>14.2743</v>
      </c>
      <c r="C950" s="60">
        <f>14.2743 * CHOOSE(CONTROL!$C$19, $C$13, 100%, $E$13)</f>
        <v>14.2743</v>
      </c>
      <c r="D950" s="60">
        <f>14.2895 * CHOOSE(CONTROL!$C$19, $C$13, 100%, $E$13)</f>
        <v>14.2895</v>
      </c>
      <c r="E950" s="61">
        <f>17.3131 * CHOOSE(CONTROL!$C$19, $C$13, 100%, $E$13)</f>
        <v>17.313099999999999</v>
      </c>
      <c r="F950" s="61">
        <f>17.3131 * CHOOSE(CONTROL!$C$19, $C$13, 100%, $E$13)</f>
        <v>17.313099999999999</v>
      </c>
      <c r="G950" s="61">
        <f>17.3133 * CHOOSE(CONTROL!$C$19, $C$13, 100%, $E$13)</f>
        <v>17.313300000000002</v>
      </c>
      <c r="H950" s="61">
        <f>23.6666* CHOOSE(CONTROL!$C$19, $C$13, 100%, $E$13)</f>
        <v>23.666599999999999</v>
      </c>
      <c r="I950" s="61">
        <f>23.6668 * CHOOSE(CONTROL!$C$19, $C$13, 100%, $E$13)</f>
        <v>23.666799999999999</v>
      </c>
      <c r="J950" s="61">
        <f>17.3131 * CHOOSE(CONTROL!$C$19, $C$13, 100%, $E$13)</f>
        <v>17.313099999999999</v>
      </c>
      <c r="K950" s="61">
        <f>17.3133 * CHOOSE(CONTROL!$C$19, $C$13, 100%, $E$13)</f>
        <v>17.313300000000002</v>
      </c>
    </row>
    <row r="951" spans="1:11" ht="15">
      <c r="A951" s="13">
        <v>70799</v>
      </c>
      <c r="B951" s="60">
        <f>14.2774 * CHOOSE(CONTROL!$C$19, $C$13, 100%, $E$13)</f>
        <v>14.2774</v>
      </c>
      <c r="C951" s="60">
        <f>14.2774 * CHOOSE(CONTROL!$C$19, $C$13, 100%, $E$13)</f>
        <v>14.2774</v>
      </c>
      <c r="D951" s="60">
        <f>14.2925 * CHOOSE(CONTROL!$C$19, $C$13, 100%, $E$13)</f>
        <v>14.2925</v>
      </c>
      <c r="E951" s="61">
        <f>17.3752 * CHOOSE(CONTROL!$C$19, $C$13, 100%, $E$13)</f>
        <v>17.3752</v>
      </c>
      <c r="F951" s="61">
        <f>17.3752 * CHOOSE(CONTROL!$C$19, $C$13, 100%, $E$13)</f>
        <v>17.3752</v>
      </c>
      <c r="G951" s="61">
        <f>17.3754 * CHOOSE(CONTROL!$C$19, $C$13, 100%, $E$13)</f>
        <v>17.375399999999999</v>
      </c>
      <c r="H951" s="61">
        <f>23.7159* CHOOSE(CONTROL!$C$19, $C$13, 100%, $E$13)</f>
        <v>23.715900000000001</v>
      </c>
      <c r="I951" s="61">
        <f>23.7161 * CHOOSE(CONTROL!$C$19, $C$13, 100%, $E$13)</f>
        <v>23.716100000000001</v>
      </c>
      <c r="J951" s="61">
        <f>17.3752 * CHOOSE(CONTROL!$C$19, $C$13, 100%, $E$13)</f>
        <v>17.3752</v>
      </c>
      <c r="K951" s="61">
        <f>17.3754 * CHOOSE(CONTROL!$C$19, $C$13, 100%, $E$13)</f>
        <v>17.375399999999999</v>
      </c>
    </row>
    <row r="952" spans="1:11" ht="15">
      <c r="A952" s="13">
        <v>70829</v>
      </c>
      <c r="B952" s="60">
        <f>14.2774 * CHOOSE(CONTROL!$C$19, $C$13, 100%, $E$13)</f>
        <v>14.2774</v>
      </c>
      <c r="C952" s="60">
        <f>14.2774 * CHOOSE(CONTROL!$C$19, $C$13, 100%, $E$13)</f>
        <v>14.2774</v>
      </c>
      <c r="D952" s="60">
        <f>14.2925 * CHOOSE(CONTROL!$C$19, $C$13, 100%, $E$13)</f>
        <v>14.2925</v>
      </c>
      <c r="E952" s="61">
        <f>17.2252 * CHOOSE(CONTROL!$C$19, $C$13, 100%, $E$13)</f>
        <v>17.225200000000001</v>
      </c>
      <c r="F952" s="61">
        <f>17.2252 * CHOOSE(CONTROL!$C$19, $C$13, 100%, $E$13)</f>
        <v>17.225200000000001</v>
      </c>
      <c r="G952" s="61">
        <f>17.2254 * CHOOSE(CONTROL!$C$19, $C$13, 100%, $E$13)</f>
        <v>17.2254</v>
      </c>
      <c r="H952" s="61">
        <f>23.7653* CHOOSE(CONTROL!$C$19, $C$13, 100%, $E$13)</f>
        <v>23.7653</v>
      </c>
      <c r="I952" s="61">
        <f>23.7655 * CHOOSE(CONTROL!$C$19, $C$13, 100%, $E$13)</f>
        <v>23.765499999999999</v>
      </c>
      <c r="J952" s="61">
        <f>17.2252 * CHOOSE(CONTROL!$C$19, $C$13, 100%, $E$13)</f>
        <v>17.225200000000001</v>
      </c>
      <c r="K952" s="61">
        <f>17.2254 * CHOOSE(CONTROL!$C$19, $C$13, 100%, $E$13)</f>
        <v>17.2254</v>
      </c>
    </row>
    <row r="953" spans="1:11" ht="15">
      <c r="A953" s="13">
        <v>70860</v>
      </c>
      <c r="B953" s="60">
        <f>14.2326 * CHOOSE(CONTROL!$C$19, $C$13, 100%, $E$13)</f>
        <v>14.2326</v>
      </c>
      <c r="C953" s="60">
        <f>14.2326 * CHOOSE(CONTROL!$C$19, $C$13, 100%, $E$13)</f>
        <v>14.2326</v>
      </c>
      <c r="D953" s="60">
        <f>14.2478 * CHOOSE(CONTROL!$C$19, $C$13, 100%, $E$13)</f>
        <v>14.2478</v>
      </c>
      <c r="E953" s="61">
        <f>17.2696 * CHOOSE(CONTROL!$C$19, $C$13, 100%, $E$13)</f>
        <v>17.269600000000001</v>
      </c>
      <c r="F953" s="61">
        <f>17.2696 * CHOOSE(CONTROL!$C$19, $C$13, 100%, $E$13)</f>
        <v>17.269600000000001</v>
      </c>
      <c r="G953" s="61">
        <f>17.2698 * CHOOSE(CONTROL!$C$19, $C$13, 100%, $E$13)</f>
        <v>17.2698</v>
      </c>
      <c r="H953" s="61">
        <f>23.5521* CHOOSE(CONTROL!$C$19, $C$13, 100%, $E$13)</f>
        <v>23.552099999999999</v>
      </c>
      <c r="I953" s="61">
        <f>23.5523 * CHOOSE(CONTROL!$C$19, $C$13, 100%, $E$13)</f>
        <v>23.552299999999999</v>
      </c>
      <c r="J953" s="61">
        <f>17.2696 * CHOOSE(CONTROL!$C$19, $C$13, 100%, $E$13)</f>
        <v>17.269600000000001</v>
      </c>
      <c r="K953" s="61">
        <f>17.2698 * CHOOSE(CONTROL!$C$19, $C$13, 100%, $E$13)</f>
        <v>17.2698</v>
      </c>
    </row>
    <row r="954" spans="1:11" ht="15">
      <c r="A954" s="13">
        <v>70891</v>
      </c>
      <c r="B954" s="60">
        <f>14.2296 * CHOOSE(CONTROL!$C$19, $C$13, 100%, $E$13)</f>
        <v>14.2296</v>
      </c>
      <c r="C954" s="60">
        <f>14.2296 * CHOOSE(CONTROL!$C$19, $C$13, 100%, $E$13)</f>
        <v>14.2296</v>
      </c>
      <c r="D954" s="60">
        <f>14.2448 * CHOOSE(CONTROL!$C$19, $C$13, 100%, $E$13)</f>
        <v>14.2448</v>
      </c>
      <c r="E954" s="61">
        <f>16.9796 * CHOOSE(CONTROL!$C$19, $C$13, 100%, $E$13)</f>
        <v>16.979600000000001</v>
      </c>
      <c r="F954" s="61">
        <f>16.9796 * CHOOSE(CONTROL!$C$19, $C$13, 100%, $E$13)</f>
        <v>16.979600000000001</v>
      </c>
      <c r="G954" s="61">
        <f>16.9797 * CHOOSE(CONTROL!$C$19, $C$13, 100%, $E$13)</f>
        <v>16.979700000000001</v>
      </c>
      <c r="H954" s="61">
        <f>23.6012* CHOOSE(CONTROL!$C$19, $C$13, 100%, $E$13)</f>
        <v>23.601199999999999</v>
      </c>
      <c r="I954" s="61">
        <f>23.6013 * CHOOSE(CONTROL!$C$19, $C$13, 100%, $E$13)</f>
        <v>23.601299999999998</v>
      </c>
      <c r="J954" s="61">
        <f>16.9796 * CHOOSE(CONTROL!$C$19, $C$13, 100%, $E$13)</f>
        <v>16.979600000000001</v>
      </c>
      <c r="K954" s="61">
        <f>16.9797 * CHOOSE(CONTROL!$C$19, $C$13, 100%, $E$13)</f>
        <v>16.979700000000001</v>
      </c>
    </row>
    <row r="955" spans="1:11" ht="15">
      <c r="A955" s="13">
        <v>70919</v>
      </c>
      <c r="B955" s="60">
        <f>14.2265 * CHOOSE(CONTROL!$C$19, $C$13, 100%, $E$13)</f>
        <v>14.2265</v>
      </c>
      <c r="C955" s="60">
        <f>14.2265 * CHOOSE(CONTROL!$C$19, $C$13, 100%, $E$13)</f>
        <v>14.2265</v>
      </c>
      <c r="D955" s="60">
        <f>14.2417 * CHOOSE(CONTROL!$C$19, $C$13, 100%, $E$13)</f>
        <v>14.2417</v>
      </c>
      <c r="E955" s="61">
        <f>17.2044 * CHOOSE(CONTROL!$C$19, $C$13, 100%, $E$13)</f>
        <v>17.2044</v>
      </c>
      <c r="F955" s="61">
        <f>17.2044 * CHOOSE(CONTROL!$C$19, $C$13, 100%, $E$13)</f>
        <v>17.2044</v>
      </c>
      <c r="G955" s="61">
        <f>17.2046 * CHOOSE(CONTROL!$C$19, $C$13, 100%, $E$13)</f>
        <v>17.204599999999999</v>
      </c>
      <c r="H955" s="61">
        <f>23.6503* CHOOSE(CONTROL!$C$19, $C$13, 100%, $E$13)</f>
        <v>23.650300000000001</v>
      </c>
      <c r="I955" s="61">
        <f>23.6505 * CHOOSE(CONTROL!$C$19, $C$13, 100%, $E$13)</f>
        <v>23.650500000000001</v>
      </c>
      <c r="J955" s="61">
        <f>17.2044 * CHOOSE(CONTROL!$C$19, $C$13, 100%, $E$13)</f>
        <v>17.2044</v>
      </c>
      <c r="K955" s="61">
        <f>17.2046 * CHOOSE(CONTROL!$C$19, $C$13, 100%, $E$13)</f>
        <v>17.204599999999999</v>
      </c>
    </row>
    <row r="956" spans="1:11" ht="15">
      <c r="A956" s="13">
        <v>70950</v>
      </c>
      <c r="B956" s="60">
        <f>14.2343 * CHOOSE(CONTROL!$C$19, $C$13, 100%, $E$13)</f>
        <v>14.234299999999999</v>
      </c>
      <c r="C956" s="60">
        <f>14.2343 * CHOOSE(CONTROL!$C$19, $C$13, 100%, $E$13)</f>
        <v>14.234299999999999</v>
      </c>
      <c r="D956" s="60">
        <f>14.2495 * CHOOSE(CONTROL!$C$19, $C$13, 100%, $E$13)</f>
        <v>14.249499999999999</v>
      </c>
      <c r="E956" s="61">
        <f>17.4439 * CHOOSE(CONTROL!$C$19, $C$13, 100%, $E$13)</f>
        <v>17.443899999999999</v>
      </c>
      <c r="F956" s="61">
        <f>17.4439 * CHOOSE(CONTROL!$C$19, $C$13, 100%, $E$13)</f>
        <v>17.443899999999999</v>
      </c>
      <c r="G956" s="61">
        <f>17.4441 * CHOOSE(CONTROL!$C$19, $C$13, 100%, $E$13)</f>
        <v>17.444099999999999</v>
      </c>
      <c r="H956" s="61">
        <f>23.6996* CHOOSE(CONTROL!$C$19, $C$13, 100%, $E$13)</f>
        <v>23.6996</v>
      </c>
      <c r="I956" s="61">
        <f>23.6998 * CHOOSE(CONTROL!$C$19, $C$13, 100%, $E$13)</f>
        <v>23.6998</v>
      </c>
      <c r="J956" s="61">
        <f>17.4439 * CHOOSE(CONTROL!$C$19, $C$13, 100%, $E$13)</f>
        <v>17.443899999999999</v>
      </c>
      <c r="K956" s="61">
        <f>17.4441 * CHOOSE(CONTROL!$C$19, $C$13, 100%, $E$13)</f>
        <v>17.444099999999999</v>
      </c>
    </row>
    <row r="957" spans="1:11" ht="15">
      <c r="A957" s="13">
        <v>70980</v>
      </c>
      <c r="B957" s="60">
        <f>14.2343 * CHOOSE(CONTROL!$C$19, $C$13, 100%, $E$13)</f>
        <v>14.234299999999999</v>
      </c>
      <c r="C957" s="60">
        <f>14.2343 * CHOOSE(CONTROL!$C$19, $C$13, 100%, $E$13)</f>
        <v>14.234299999999999</v>
      </c>
      <c r="D957" s="60">
        <f>14.2646 * CHOOSE(CONTROL!$C$19, $C$13, 100%, $E$13)</f>
        <v>14.2646</v>
      </c>
      <c r="E957" s="61">
        <f>17.5353 * CHOOSE(CONTROL!$C$19, $C$13, 100%, $E$13)</f>
        <v>17.535299999999999</v>
      </c>
      <c r="F957" s="61">
        <f>17.5353 * CHOOSE(CONTROL!$C$19, $C$13, 100%, $E$13)</f>
        <v>17.535299999999999</v>
      </c>
      <c r="G957" s="61">
        <f>17.5372 * CHOOSE(CONTROL!$C$19, $C$13, 100%, $E$13)</f>
        <v>17.537199999999999</v>
      </c>
      <c r="H957" s="61">
        <f>23.749* CHOOSE(CONTROL!$C$19, $C$13, 100%, $E$13)</f>
        <v>23.748999999999999</v>
      </c>
      <c r="I957" s="61">
        <f>23.7509 * CHOOSE(CONTROL!$C$19, $C$13, 100%, $E$13)</f>
        <v>23.750900000000001</v>
      </c>
      <c r="J957" s="61">
        <f>17.5353 * CHOOSE(CONTROL!$C$19, $C$13, 100%, $E$13)</f>
        <v>17.535299999999999</v>
      </c>
      <c r="K957" s="61">
        <f>17.5372 * CHOOSE(CONTROL!$C$19, $C$13, 100%, $E$13)</f>
        <v>17.537199999999999</v>
      </c>
    </row>
    <row r="958" spans="1:11" ht="15">
      <c r="A958" s="13">
        <v>71011</v>
      </c>
      <c r="B958" s="60">
        <f>14.2404 * CHOOSE(CONTROL!$C$19, $C$13, 100%, $E$13)</f>
        <v>14.240399999999999</v>
      </c>
      <c r="C958" s="60">
        <f>14.2404 * CHOOSE(CONTROL!$C$19, $C$13, 100%, $E$13)</f>
        <v>14.240399999999999</v>
      </c>
      <c r="D958" s="60">
        <f>14.2707 * CHOOSE(CONTROL!$C$19, $C$13, 100%, $E$13)</f>
        <v>14.2707</v>
      </c>
      <c r="E958" s="61">
        <f>17.4482 * CHOOSE(CONTROL!$C$19, $C$13, 100%, $E$13)</f>
        <v>17.4482</v>
      </c>
      <c r="F958" s="61">
        <f>17.4482 * CHOOSE(CONTROL!$C$19, $C$13, 100%, $E$13)</f>
        <v>17.4482</v>
      </c>
      <c r="G958" s="61">
        <f>17.4501 * CHOOSE(CONTROL!$C$19, $C$13, 100%, $E$13)</f>
        <v>17.450099999999999</v>
      </c>
      <c r="H958" s="61">
        <f>23.7985* CHOOSE(CONTROL!$C$19, $C$13, 100%, $E$13)</f>
        <v>23.798500000000001</v>
      </c>
      <c r="I958" s="61">
        <f>23.8004 * CHOOSE(CONTROL!$C$19, $C$13, 100%, $E$13)</f>
        <v>23.8004</v>
      </c>
      <c r="J958" s="61">
        <f>17.4482 * CHOOSE(CONTROL!$C$19, $C$13, 100%, $E$13)</f>
        <v>17.4482</v>
      </c>
      <c r="K958" s="61">
        <f>17.4501 * CHOOSE(CONTROL!$C$19, $C$13, 100%, $E$13)</f>
        <v>17.450099999999999</v>
      </c>
    </row>
    <row r="959" spans="1:11" ht="15">
      <c r="A959" s="13">
        <v>71041</v>
      </c>
      <c r="B959" s="60">
        <f>14.436 * CHOOSE(CONTROL!$C$19, $C$13, 100%, $E$13)</f>
        <v>14.436</v>
      </c>
      <c r="C959" s="60">
        <f>14.436 * CHOOSE(CONTROL!$C$19, $C$13, 100%, $E$13)</f>
        <v>14.436</v>
      </c>
      <c r="D959" s="60">
        <f>14.4664 * CHOOSE(CONTROL!$C$19, $C$13, 100%, $E$13)</f>
        <v>14.4664</v>
      </c>
      <c r="E959" s="61">
        <f>17.7631 * CHOOSE(CONTROL!$C$19, $C$13, 100%, $E$13)</f>
        <v>17.763100000000001</v>
      </c>
      <c r="F959" s="61">
        <f>17.7631 * CHOOSE(CONTROL!$C$19, $C$13, 100%, $E$13)</f>
        <v>17.763100000000001</v>
      </c>
      <c r="G959" s="61">
        <f>17.765 * CHOOSE(CONTROL!$C$19, $C$13, 100%, $E$13)</f>
        <v>17.765000000000001</v>
      </c>
      <c r="H959" s="61">
        <f>23.848* CHOOSE(CONTROL!$C$19, $C$13, 100%, $E$13)</f>
        <v>23.847999999999999</v>
      </c>
      <c r="I959" s="61">
        <f>23.8499 * CHOOSE(CONTROL!$C$19, $C$13, 100%, $E$13)</f>
        <v>23.849900000000002</v>
      </c>
      <c r="J959" s="61">
        <f>17.7631 * CHOOSE(CONTROL!$C$19, $C$13, 100%, $E$13)</f>
        <v>17.763100000000001</v>
      </c>
      <c r="K959" s="61">
        <f>17.765 * CHOOSE(CONTROL!$C$19, $C$13, 100%, $E$13)</f>
        <v>17.765000000000001</v>
      </c>
    </row>
    <row r="960" spans="1:11" ht="15">
      <c r="A960" s="13">
        <v>71072</v>
      </c>
      <c r="B960" s="60">
        <f>14.4427 * CHOOSE(CONTROL!$C$19, $C$13, 100%, $E$13)</f>
        <v>14.4427</v>
      </c>
      <c r="C960" s="60">
        <f>14.4427 * CHOOSE(CONTROL!$C$19, $C$13, 100%, $E$13)</f>
        <v>14.4427</v>
      </c>
      <c r="D960" s="60">
        <f>14.4731 * CHOOSE(CONTROL!$C$19, $C$13, 100%, $E$13)</f>
        <v>14.473100000000001</v>
      </c>
      <c r="E960" s="61">
        <f>17.4935 * CHOOSE(CONTROL!$C$19, $C$13, 100%, $E$13)</f>
        <v>17.493500000000001</v>
      </c>
      <c r="F960" s="61">
        <f>17.4935 * CHOOSE(CONTROL!$C$19, $C$13, 100%, $E$13)</f>
        <v>17.493500000000001</v>
      </c>
      <c r="G960" s="61">
        <f>17.4954 * CHOOSE(CONTROL!$C$19, $C$13, 100%, $E$13)</f>
        <v>17.4954</v>
      </c>
      <c r="H960" s="61">
        <f>23.8977* CHOOSE(CONTROL!$C$19, $C$13, 100%, $E$13)</f>
        <v>23.8977</v>
      </c>
      <c r="I960" s="61">
        <f>23.8996 * CHOOSE(CONTROL!$C$19, $C$13, 100%, $E$13)</f>
        <v>23.8996</v>
      </c>
      <c r="J960" s="61">
        <f>17.4935 * CHOOSE(CONTROL!$C$19, $C$13, 100%, $E$13)</f>
        <v>17.493500000000001</v>
      </c>
      <c r="K960" s="61">
        <f>17.4954 * CHOOSE(CONTROL!$C$19, $C$13, 100%, $E$13)</f>
        <v>17.4954</v>
      </c>
    </row>
    <row r="961" spans="1:11" ht="15">
      <c r="A961" s="13">
        <v>71103</v>
      </c>
      <c r="B961" s="60">
        <f>14.4397 * CHOOSE(CONTROL!$C$19, $C$13, 100%, $E$13)</f>
        <v>14.4397</v>
      </c>
      <c r="C961" s="60">
        <f>14.4397 * CHOOSE(CONTROL!$C$19, $C$13, 100%, $E$13)</f>
        <v>14.4397</v>
      </c>
      <c r="D961" s="60">
        <f>14.4701 * CHOOSE(CONTROL!$C$19, $C$13, 100%, $E$13)</f>
        <v>14.4701</v>
      </c>
      <c r="E961" s="61">
        <f>17.4609 * CHOOSE(CONTROL!$C$19, $C$13, 100%, $E$13)</f>
        <v>17.460899999999999</v>
      </c>
      <c r="F961" s="61">
        <f>17.4609 * CHOOSE(CONTROL!$C$19, $C$13, 100%, $E$13)</f>
        <v>17.460899999999999</v>
      </c>
      <c r="G961" s="61">
        <f>17.4628 * CHOOSE(CONTROL!$C$19, $C$13, 100%, $E$13)</f>
        <v>17.462800000000001</v>
      </c>
      <c r="H961" s="61">
        <f>23.9475* CHOOSE(CONTROL!$C$19, $C$13, 100%, $E$13)</f>
        <v>23.947500000000002</v>
      </c>
      <c r="I961" s="61">
        <f>23.9494 * CHOOSE(CONTROL!$C$19, $C$13, 100%, $E$13)</f>
        <v>23.949400000000001</v>
      </c>
      <c r="J961" s="61">
        <f>17.4609 * CHOOSE(CONTROL!$C$19, $C$13, 100%, $E$13)</f>
        <v>17.460899999999999</v>
      </c>
      <c r="K961" s="61">
        <f>17.4628 * CHOOSE(CONTROL!$C$19, $C$13, 100%, $E$13)</f>
        <v>17.462800000000001</v>
      </c>
    </row>
    <row r="962" spans="1:11" ht="15">
      <c r="A962" s="13">
        <v>71133</v>
      </c>
      <c r="B962" s="60">
        <f>14.4744 * CHOOSE(CONTROL!$C$19, $C$13, 100%, $E$13)</f>
        <v>14.474399999999999</v>
      </c>
      <c r="C962" s="60">
        <f>14.4744 * CHOOSE(CONTROL!$C$19, $C$13, 100%, $E$13)</f>
        <v>14.474399999999999</v>
      </c>
      <c r="D962" s="60">
        <f>14.4896 * CHOOSE(CONTROL!$C$19, $C$13, 100%, $E$13)</f>
        <v>14.489599999999999</v>
      </c>
      <c r="E962" s="61">
        <f>17.5694 * CHOOSE(CONTROL!$C$19, $C$13, 100%, $E$13)</f>
        <v>17.569400000000002</v>
      </c>
      <c r="F962" s="61">
        <f>17.5694 * CHOOSE(CONTROL!$C$19, $C$13, 100%, $E$13)</f>
        <v>17.569400000000002</v>
      </c>
      <c r="G962" s="61">
        <f>17.5696 * CHOOSE(CONTROL!$C$19, $C$13, 100%, $E$13)</f>
        <v>17.569600000000001</v>
      </c>
      <c r="H962" s="61">
        <f>23.9974* CHOOSE(CONTROL!$C$19, $C$13, 100%, $E$13)</f>
        <v>23.997399999999999</v>
      </c>
      <c r="I962" s="61">
        <f>23.9976 * CHOOSE(CONTROL!$C$19, $C$13, 100%, $E$13)</f>
        <v>23.997599999999998</v>
      </c>
      <c r="J962" s="61">
        <f>17.5694 * CHOOSE(CONTROL!$C$19, $C$13, 100%, $E$13)</f>
        <v>17.569400000000002</v>
      </c>
      <c r="K962" s="61">
        <f>17.5696 * CHOOSE(CONTROL!$C$19, $C$13, 100%, $E$13)</f>
        <v>17.569600000000001</v>
      </c>
    </row>
    <row r="963" spans="1:11" ht="15">
      <c r="A963" s="13">
        <v>71164</v>
      </c>
      <c r="B963" s="60">
        <f>14.4774 * CHOOSE(CONTROL!$C$19, $C$13, 100%, $E$13)</f>
        <v>14.477399999999999</v>
      </c>
      <c r="C963" s="60">
        <f>14.4774 * CHOOSE(CONTROL!$C$19, $C$13, 100%, $E$13)</f>
        <v>14.477399999999999</v>
      </c>
      <c r="D963" s="60">
        <f>14.4926 * CHOOSE(CONTROL!$C$19, $C$13, 100%, $E$13)</f>
        <v>14.492599999999999</v>
      </c>
      <c r="E963" s="61">
        <f>17.6324 * CHOOSE(CONTROL!$C$19, $C$13, 100%, $E$13)</f>
        <v>17.632400000000001</v>
      </c>
      <c r="F963" s="61">
        <f>17.6324 * CHOOSE(CONTROL!$C$19, $C$13, 100%, $E$13)</f>
        <v>17.632400000000001</v>
      </c>
      <c r="G963" s="61">
        <f>17.6326 * CHOOSE(CONTROL!$C$19, $C$13, 100%, $E$13)</f>
        <v>17.6326</v>
      </c>
      <c r="H963" s="61">
        <f>24.0474* CHOOSE(CONTROL!$C$19, $C$13, 100%, $E$13)</f>
        <v>24.0474</v>
      </c>
      <c r="I963" s="61">
        <f>24.0476 * CHOOSE(CONTROL!$C$19, $C$13, 100%, $E$13)</f>
        <v>24.047599999999999</v>
      </c>
      <c r="J963" s="61">
        <f>17.6324 * CHOOSE(CONTROL!$C$19, $C$13, 100%, $E$13)</f>
        <v>17.632400000000001</v>
      </c>
      <c r="K963" s="61">
        <f>17.6326 * CHOOSE(CONTROL!$C$19, $C$13, 100%, $E$13)</f>
        <v>17.6326</v>
      </c>
    </row>
    <row r="964" spans="1:11" ht="15">
      <c r="A964" s="13">
        <v>71194</v>
      </c>
      <c r="B964" s="60">
        <f>14.4774 * CHOOSE(CONTROL!$C$19, $C$13, 100%, $E$13)</f>
        <v>14.477399999999999</v>
      </c>
      <c r="C964" s="60">
        <f>14.4774 * CHOOSE(CONTROL!$C$19, $C$13, 100%, $E$13)</f>
        <v>14.477399999999999</v>
      </c>
      <c r="D964" s="60">
        <f>14.4926 * CHOOSE(CONTROL!$C$19, $C$13, 100%, $E$13)</f>
        <v>14.492599999999999</v>
      </c>
      <c r="E964" s="61">
        <f>17.4801 * CHOOSE(CONTROL!$C$19, $C$13, 100%, $E$13)</f>
        <v>17.4801</v>
      </c>
      <c r="F964" s="61">
        <f>17.4801 * CHOOSE(CONTROL!$C$19, $C$13, 100%, $E$13)</f>
        <v>17.4801</v>
      </c>
      <c r="G964" s="61">
        <f>17.4803 * CHOOSE(CONTROL!$C$19, $C$13, 100%, $E$13)</f>
        <v>17.4803</v>
      </c>
      <c r="H964" s="61">
        <f>24.0975* CHOOSE(CONTROL!$C$19, $C$13, 100%, $E$13)</f>
        <v>24.0975</v>
      </c>
      <c r="I964" s="61">
        <f>24.0977 * CHOOSE(CONTROL!$C$19, $C$13, 100%, $E$13)</f>
        <v>24.0977</v>
      </c>
      <c r="J964" s="61">
        <f>17.4801 * CHOOSE(CONTROL!$C$19, $C$13, 100%, $E$13)</f>
        <v>17.4801</v>
      </c>
      <c r="K964" s="61">
        <f>17.4803 * CHOOSE(CONTROL!$C$19, $C$13, 100%, $E$13)</f>
        <v>17.4803</v>
      </c>
    </row>
    <row r="965" spans="1:11" ht="15">
      <c r="A965" s="13">
        <v>71225</v>
      </c>
      <c r="B965" s="60">
        <f>14.4292 * CHOOSE(CONTROL!$C$19, $C$13, 100%, $E$13)</f>
        <v>14.4292</v>
      </c>
      <c r="C965" s="60">
        <f>14.4292 * CHOOSE(CONTROL!$C$19, $C$13, 100%, $E$13)</f>
        <v>14.4292</v>
      </c>
      <c r="D965" s="60">
        <f>14.4444 * CHOOSE(CONTROL!$C$19, $C$13, 100%, $E$13)</f>
        <v>14.4444</v>
      </c>
      <c r="E965" s="61">
        <f>17.5214 * CHOOSE(CONTROL!$C$19, $C$13, 100%, $E$13)</f>
        <v>17.5214</v>
      </c>
      <c r="F965" s="61">
        <f>17.5214 * CHOOSE(CONTROL!$C$19, $C$13, 100%, $E$13)</f>
        <v>17.5214</v>
      </c>
      <c r="G965" s="61">
        <f>17.5216 * CHOOSE(CONTROL!$C$19, $C$13, 100%, $E$13)</f>
        <v>17.521599999999999</v>
      </c>
      <c r="H965" s="61">
        <f>23.8768* CHOOSE(CONTROL!$C$19, $C$13, 100%, $E$13)</f>
        <v>23.876799999999999</v>
      </c>
      <c r="I965" s="61">
        <f>23.8769 * CHOOSE(CONTROL!$C$19, $C$13, 100%, $E$13)</f>
        <v>23.876899999999999</v>
      </c>
      <c r="J965" s="61">
        <f>17.5214 * CHOOSE(CONTROL!$C$19, $C$13, 100%, $E$13)</f>
        <v>17.5214</v>
      </c>
      <c r="K965" s="61">
        <f>17.5216 * CHOOSE(CONTROL!$C$19, $C$13, 100%, $E$13)</f>
        <v>17.521599999999999</v>
      </c>
    </row>
    <row r="966" spans="1:11" ht="15">
      <c r="A966" s="13">
        <v>71256</v>
      </c>
      <c r="B966" s="60">
        <f>14.4262 * CHOOSE(CONTROL!$C$19, $C$13, 100%, $E$13)</f>
        <v>14.4262</v>
      </c>
      <c r="C966" s="60">
        <f>14.4262 * CHOOSE(CONTROL!$C$19, $C$13, 100%, $E$13)</f>
        <v>14.4262</v>
      </c>
      <c r="D966" s="60">
        <f>14.4414 * CHOOSE(CONTROL!$C$19, $C$13, 100%, $E$13)</f>
        <v>14.4414</v>
      </c>
      <c r="E966" s="61">
        <f>17.2269 * CHOOSE(CONTROL!$C$19, $C$13, 100%, $E$13)</f>
        <v>17.226900000000001</v>
      </c>
      <c r="F966" s="61">
        <f>17.2269 * CHOOSE(CONTROL!$C$19, $C$13, 100%, $E$13)</f>
        <v>17.226900000000001</v>
      </c>
      <c r="G966" s="61">
        <f>17.2271 * CHOOSE(CONTROL!$C$19, $C$13, 100%, $E$13)</f>
        <v>17.2271</v>
      </c>
      <c r="H966" s="61">
        <f>23.9265* CHOOSE(CONTROL!$C$19, $C$13, 100%, $E$13)</f>
        <v>23.926500000000001</v>
      </c>
      <c r="I966" s="61">
        <f>23.9267 * CHOOSE(CONTROL!$C$19, $C$13, 100%, $E$13)</f>
        <v>23.9267</v>
      </c>
      <c r="J966" s="61">
        <f>17.2269 * CHOOSE(CONTROL!$C$19, $C$13, 100%, $E$13)</f>
        <v>17.226900000000001</v>
      </c>
      <c r="K966" s="61">
        <f>17.2271 * CHOOSE(CONTROL!$C$19, $C$13, 100%, $E$13)</f>
        <v>17.2271</v>
      </c>
    </row>
    <row r="967" spans="1:11" ht="15">
      <c r="A967" s="13">
        <v>71284</v>
      </c>
      <c r="B967" s="60">
        <f>14.4232 * CHOOSE(CONTROL!$C$19, $C$13, 100%, $E$13)</f>
        <v>14.4232</v>
      </c>
      <c r="C967" s="60">
        <f>14.4232 * CHOOSE(CONTROL!$C$19, $C$13, 100%, $E$13)</f>
        <v>14.4232</v>
      </c>
      <c r="D967" s="60">
        <f>14.4383 * CHOOSE(CONTROL!$C$19, $C$13, 100%, $E$13)</f>
        <v>14.4383</v>
      </c>
      <c r="E967" s="61">
        <f>17.4553 * CHOOSE(CONTROL!$C$19, $C$13, 100%, $E$13)</f>
        <v>17.455300000000001</v>
      </c>
      <c r="F967" s="61">
        <f>17.4553 * CHOOSE(CONTROL!$C$19, $C$13, 100%, $E$13)</f>
        <v>17.455300000000001</v>
      </c>
      <c r="G967" s="61">
        <f>17.4555 * CHOOSE(CONTROL!$C$19, $C$13, 100%, $E$13)</f>
        <v>17.455500000000001</v>
      </c>
      <c r="H967" s="61">
        <f>23.9764* CHOOSE(CONTROL!$C$19, $C$13, 100%, $E$13)</f>
        <v>23.976400000000002</v>
      </c>
      <c r="I967" s="61">
        <f>23.9765 * CHOOSE(CONTROL!$C$19, $C$13, 100%, $E$13)</f>
        <v>23.976500000000001</v>
      </c>
      <c r="J967" s="61">
        <f>17.4553 * CHOOSE(CONTROL!$C$19, $C$13, 100%, $E$13)</f>
        <v>17.455300000000001</v>
      </c>
      <c r="K967" s="61">
        <f>17.4555 * CHOOSE(CONTROL!$C$19, $C$13, 100%, $E$13)</f>
        <v>17.455500000000001</v>
      </c>
    </row>
    <row r="968" spans="1:11" ht="15">
      <c r="A968" s="13">
        <v>71315</v>
      </c>
      <c r="B968" s="60">
        <f>14.4311 * CHOOSE(CONTROL!$C$19, $C$13, 100%, $E$13)</f>
        <v>14.431100000000001</v>
      </c>
      <c r="C968" s="60">
        <f>14.4311 * CHOOSE(CONTROL!$C$19, $C$13, 100%, $E$13)</f>
        <v>14.431100000000001</v>
      </c>
      <c r="D968" s="60">
        <f>14.4463 * CHOOSE(CONTROL!$C$19, $C$13, 100%, $E$13)</f>
        <v>14.446300000000001</v>
      </c>
      <c r="E968" s="61">
        <f>17.6986 * CHOOSE(CONTROL!$C$19, $C$13, 100%, $E$13)</f>
        <v>17.698599999999999</v>
      </c>
      <c r="F968" s="61">
        <f>17.6986 * CHOOSE(CONTROL!$C$19, $C$13, 100%, $E$13)</f>
        <v>17.698599999999999</v>
      </c>
      <c r="G968" s="61">
        <f>17.6988 * CHOOSE(CONTROL!$C$19, $C$13, 100%, $E$13)</f>
        <v>17.698799999999999</v>
      </c>
      <c r="H968" s="61">
        <f>24.0263* CHOOSE(CONTROL!$C$19, $C$13, 100%, $E$13)</f>
        <v>24.026299999999999</v>
      </c>
      <c r="I968" s="61">
        <f>24.0265 * CHOOSE(CONTROL!$C$19, $C$13, 100%, $E$13)</f>
        <v>24.026499999999999</v>
      </c>
      <c r="J968" s="61">
        <f>17.6986 * CHOOSE(CONTROL!$C$19, $C$13, 100%, $E$13)</f>
        <v>17.698599999999999</v>
      </c>
      <c r="K968" s="61">
        <f>17.6988 * CHOOSE(CONTROL!$C$19, $C$13, 100%, $E$13)</f>
        <v>17.698799999999999</v>
      </c>
    </row>
    <row r="969" spans="1:11" ht="15">
      <c r="A969" s="13">
        <v>71345</v>
      </c>
      <c r="B969" s="60">
        <f>14.4311 * CHOOSE(CONTROL!$C$19, $C$13, 100%, $E$13)</f>
        <v>14.431100000000001</v>
      </c>
      <c r="C969" s="60">
        <f>14.4311 * CHOOSE(CONTROL!$C$19, $C$13, 100%, $E$13)</f>
        <v>14.431100000000001</v>
      </c>
      <c r="D969" s="60">
        <f>14.4615 * CHOOSE(CONTROL!$C$19, $C$13, 100%, $E$13)</f>
        <v>14.461499999999999</v>
      </c>
      <c r="E969" s="61">
        <f>17.7914 * CHOOSE(CONTROL!$C$19, $C$13, 100%, $E$13)</f>
        <v>17.791399999999999</v>
      </c>
      <c r="F969" s="61">
        <f>17.7914 * CHOOSE(CONTROL!$C$19, $C$13, 100%, $E$13)</f>
        <v>17.791399999999999</v>
      </c>
      <c r="G969" s="61">
        <f>17.7933 * CHOOSE(CONTROL!$C$19, $C$13, 100%, $E$13)</f>
        <v>17.793299999999999</v>
      </c>
      <c r="H969" s="61">
        <f>24.0764* CHOOSE(CONTROL!$C$19, $C$13, 100%, $E$13)</f>
        <v>24.0764</v>
      </c>
      <c r="I969" s="61">
        <f>24.0783 * CHOOSE(CONTROL!$C$19, $C$13, 100%, $E$13)</f>
        <v>24.078299999999999</v>
      </c>
      <c r="J969" s="61">
        <f>17.7914 * CHOOSE(CONTROL!$C$19, $C$13, 100%, $E$13)</f>
        <v>17.791399999999999</v>
      </c>
      <c r="K969" s="61">
        <f>17.7933 * CHOOSE(CONTROL!$C$19, $C$13, 100%, $E$13)</f>
        <v>17.793299999999999</v>
      </c>
    </row>
    <row r="970" spans="1:11" ht="15">
      <c r="A970" s="13">
        <v>71376</v>
      </c>
      <c r="B970" s="60">
        <f>14.4372 * CHOOSE(CONTROL!$C$19, $C$13, 100%, $E$13)</f>
        <v>14.437200000000001</v>
      </c>
      <c r="C970" s="60">
        <f>14.4372 * CHOOSE(CONTROL!$C$19, $C$13, 100%, $E$13)</f>
        <v>14.437200000000001</v>
      </c>
      <c r="D970" s="60">
        <f>14.4675 * CHOOSE(CONTROL!$C$19, $C$13, 100%, $E$13)</f>
        <v>14.467499999999999</v>
      </c>
      <c r="E970" s="61">
        <f>17.7028 * CHOOSE(CONTROL!$C$19, $C$13, 100%, $E$13)</f>
        <v>17.7028</v>
      </c>
      <c r="F970" s="61">
        <f>17.7028 * CHOOSE(CONTROL!$C$19, $C$13, 100%, $E$13)</f>
        <v>17.7028</v>
      </c>
      <c r="G970" s="61">
        <f>17.7047 * CHOOSE(CONTROL!$C$19, $C$13, 100%, $E$13)</f>
        <v>17.704699999999999</v>
      </c>
      <c r="H970" s="61">
        <f>24.1265* CHOOSE(CONTROL!$C$19, $C$13, 100%, $E$13)</f>
        <v>24.1265</v>
      </c>
      <c r="I970" s="61">
        <f>24.1284 * CHOOSE(CONTROL!$C$19, $C$13, 100%, $E$13)</f>
        <v>24.128399999999999</v>
      </c>
      <c r="J970" s="61">
        <f>17.7028 * CHOOSE(CONTROL!$C$19, $C$13, 100%, $E$13)</f>
        <v>17.7028</v>
      </c>
      <c r="K970" s="61">
        <f>17.7047 * CHOOSE(CONTROL!$C$19, $C$13, 100%, $E$13)</f>
        <v>17.704699999999999</v>
      </c>
    </row>
    <row r="971" spans="1:11" ht="15">
      <c r="A971" s="13">
        <v>71406</v>
      </c>
      <c r="B971" s="60">
        <f>14.6354 * CHOOSE(CONTROL!$C$19, $C$13, 100%, $E$13)</f>
        <v>14.635400000000001</v>
      </c>
      <c r="C971" s="60">
        <f>14.6354 * CHOOSE(CONTROL!$C$19, $C$13, 100%, $E$13)</f>
        <v>14.635400000000001</v>
      </c>
      <c r="D971" s="60">
        <f>14.6657 * CHOOSE(CONTROL!$C$19, $C$13, 100%, $E$13)</f>
        <v>14.665699999999999</v>
      </c>
      <c r="E971" s="61">
        <f>18.0222 * CHOOSE(CONTROL!$C$19, $C$13, 100%, $E$13)</f>
        <v>18.022200000000002</v>
      </c>
      <c r="F971" s="61">
        <f>18.0222 * CHOOSE(CONTROL!$C$19, $C$13, 100%, $E$13)</f>
        <v>18.022200000000002</v>
      </c>
      <c r="G971" s="61">
        <f>18.0241 * CHOOSE(CONTROL!$C$19, $C$13, 100%, $E$13)</f>
        <v>18.024100000000001</v>
      </c>
      <c r="H971" s="61">
        <f>24.1768* CHOOSE(CONTROL!$C$19, $C$13, 100%, $E$13)</f>
        <v>24.1768</v>
      </c>
      <c r="I971" s="61">
        <f>24.1787 * CHOOSE(CONTROL!$C$19, $C$13, 100%, $E$13)</f>
        <v>24.178699999999999</v>
      </c>
      <c r="J971" s="61">
        <f>18.0222 * CHOOSE(CONTROL!$C$19, $C$13, 100%, $E$13)</f>
        <v>18.022200000000002</v>
      </c>
      <c r="K971" s="61">
        <f>18.0241 * CHOOSE(CONTROL!$C$19, $C$13, 100%, $E$13)</f>
        <v>18.024100000000001</v>
      </c>
    </row>
    <row r="972" spans="1:11" ht="15">
      <c r="A972" s="13">
        <v>71437</v>
      </c>
      <c r="B972" s="60">
        <f>14.642 * CHOOSE(CONTROL!$C$19, $C$13, 100%, $E$13)</f>
        <v>14.641999999999999</v>
      </c>
      <c r="C972" s="60">
        <f>14.642 * CHOOSE(CONTROL!$C$19, $C$13, 100%, $E$13)</f>
        <v>14.641999999999999</v>
      </c>
      <c r="D972" s="60">
        <f>14.6724 * CHOOSE(CONTROL!$C$19, $C$13, 100%, $E$13)</f>
        <v>14.6724</v>
      </c>
      <c r="E972" s="61">
        <f>17.7484 * CHOOSE(CONTROL!$C$19, $C$13, 100%, $E$13)</f>
        <v>17.7484</v>
      </c>
      <c r="F972" s="61">
        <f>17.7484 * CHOOSE(CONTROL!$C$19, $C$13, 100%, $E$13)</f>
        <v>17.7484</v>
      </c>
      <c r="G972" s="61">
        <f>17.7503 * CHOOSE(CONTROL!$C$19, $C$13, 100%, $E$13)</f>
        <v>17.750299999999999</v>
      </c>
      <c r="H972" s="61">
        <f>24.2271* CHOOSE(CONTROL!$C$19, $C$13, 100%, $E$13)</f>
        <v>24.2271</v>
      </c>
      <c r="I972" s="61">
        <f>24.229 * CHOOSE(CONTROL!$C$19, $C$13, 100%, $E$13)</f>
        <v>24.228999999999999</v>
      </c>
      <c r="J972" s="61">
        <f>17.7484 * CHOOSE(CONTROL!$C$19, $C$13, 100%, $E$13)</f>
        <v>17.7484</v>
      </c>
      <c r="K972" s="61">
        <f>17.7503 * CHOOSE(CONTROL!$C$19, $C$13, 100%, $E$13)</f>
        <v>17.750299999999999</v>
      </c>
    </row>
    <row r="973" spans="1:11" ht="15">
      <c r="A973" s="13">
        <v>71468</v>
      </c>
      <c r="B973" s="60">
        <f>14.639 * CHOOSE(CONTROL!$C$19, $C$13, 100%, $E$13)</f>
        <v>14.638999999999999</v>
      </c>
      <c r="C973" s="60">
        <f>14.639 * CHOOSE(CONTROL!$C$19, $C$13, 100%, $E$13)</f>
        <v>14.638999999999999</v>
      </c>
      <c r="D973" s="60">
        <f>14.6694 * CHOOSE(CONTROL!$C$19, $C$13, 100%, $E$13)</f>
        <v>14.6694</v>
      </c>
      <c r="E973" s="61">
        <f>17.7153 * CHOOSE(CONTROL!$C$19, $C$13, 100%, $E$13)</f>
        <v>17.715299999999999</v>
      </c>
      <c r="F973" s="61">
        <f>17.7153 * CHOOSE(CONTROL!$C$19, $C$13, 100%, $E$13)</f>
        <v>17.715299999999999</v>
      </c>
      <c r="G973" s="61">
        <f>17.7172 * CHOOSE(CONTROL!$C$19, $C$13, 100%, $E$13)</f>
        <v>17.717199999999998</v>
      </c>
      <c r="H973" s="61">
        <f>24.2776* CHOOSE(CONTROL!$C$19, $C$13, 100%, $E$13)</f>
        <v>24.2776</v>
      </c>
      <c r="I973" s="61">
        <f>24.2795 * CHOOSE(CONTROL!$C$19, $C$13, 100%, $E$13)</f>
        <v>24.279499999999999</v>
      </c>
      <c r="J973" s="61">
        <f>17.7153 * CHOOSE(CONTROL!$C$19, $C$13, 100%, $E$13)</f>
        <v>17.715299999999999</v>
      </c>
      <c r="K973" s="61">
        <f>17.7172 * CHOOSE(CONTROL!$C$19, $C$13, 100%, $E$13)</f>
        <v>17.717199999999998</v>
      </c>
    </row>
    <row r="974" spans="1:11" ht="15">
      <c r="A974" s="13">
        <v>71498</v>
      </c>
      <c r="B974" s="60">
        <f>14.6745 * CHOOSE(CONTROL!$C$19, $C$13, 100%, $E$13)</f>
        <v>14.6745</v>
      </c>
      <c r="C974" s="60">
        <f>14.6745 * CHOOSE(CONTROL!$C$19, $C$13, 100%, $E$13)</f>
        <v>14.6745</v>
      </c>
      <c r="D974" s="60">
        <f>14.6896 * CHOOSE(CONTROL!$C$19, $C$13, 100%, $E$13)</f>
        <v>14.6896</v>
      </c>
      <c r="E974" s="61">
        <f>17.8256 * CHOOSE(CONTROL!$C$19, $C$13, 100%, $E$13)</f>
        <v>17.825600000000001</v>
      </c>
      <c r="F974" s="61">
        <f>17.8256 * CHOOSE(CONTROL!$C$19, $C$13, 100%, $E$13)</f>
        <v>17.825600000000001</v>
      </c>
      <c r="G974" s="61">
        <f>17.8258 * CHOOSE(CONTROL!$C$19, $C$13, 100%, $E$13)</f>
        <v>17.825800000000001</v>
      </c>
      <c r="H974" s="61">
        <f>24.3282* CHOOSE(CONTROL!$C$19, $C$13, 100%, $E$13)</f>
        <v>24.328199999999999</v>
      </c>
      <c r="I974" s="61">
        <f>24.3284 * CHOOSE(CONTROL!$C$19, $C$13, 100%, $E$13)</f>
        <v>24.328399999999998</v>
      </c>
      <c r="J974" s="61">
        <f>17.8256 * CHOOSE(CONTROL!$C$19, $C$13, 100%, $E$13)</f>
        <v>17.825600000000001</v>
      </c>
      <c r="K974" s="61">
        <f>17.8258 * CHOOSE(CONTROL!$C$19, $C$13, 100%, $E$13)</f>
        <v>17.825800000000001</v>
      </c>
    </row>
    <row r="975" spans="1:11" ht="15">
      <c r="A975" s="13">
        <v>71529</v>
      </c>
      <c r="B975" s="60">
        <f>14.6775 * CHOOSE(CONTROL!$C$19, $C$13, 100%, $E$13)</f>
        <v>14.6775</v>
      </c>
      <c r="C975" s="60">
        <f>14.6775 * CHOOSE(CONTROL!$C$19, $C$13, 100%, $E$13)</f>
        <v>14.6775</v>
      </c>
      <c r="D975" s="60">
        <f>14.6927 * CHOOSE(CONTROL!$C$19, $C$13, 100%, $E$13)</f>
        <v>14.6927</v>
      </c>
      <c r="E975" s="61">
        <f>17.8896 * CHOOSE(CONTROL!$C$19, $C$13, 100%, $E$13)</f>
        <v>17.889600000000002</v>
      </c>
      <c r="F975" s="61">
        <f>17.8896 * CHOOSE(CONTROL!$C$19, $C$13, 100%, $E$13)</f>
        <v>17.889600000000002</v>
      </c>
      <c r="G975" s="61">
        <f>17.8898 * CHOOSE(CONTROL!$C$19, $C$13, 100%, $E$13)</f>
        <v>17.889800000000001</v>
      </c>
      <c r="H975" s="61">
        <f>24.3789* CHOOSE(CONTROL!$C$19, $C$13, 100%, $E$13)</f>
        <v>24.378900000000002</v>
      </c>
      <c r="I975" s="61">
        <f>24.3791 * CHOOSE(CONTROL!$C$19, $C$13, 100%, $E$13)</f>
        <v>24.379100000000001</v>
      </c>
      <c r="J975" s="61">
        <f>17.8896 * CHOOSE(CONTROL!$C$19, $C$13, 100%, $E$13)</f>
        <v>17.889600000000002</v>
      </c>
      <c r="K975" s="61">
        <f>17.8898 * CHOOSE(CONTROL!$C$19, $C$13, 100%, $E$13)</f>
        <v>17.889800000000001</v>
      </c>
    </row>
    <row r="976" spans="1:11" ht="15">
      <c r="A976" s="13">
        <v>71559</v>
      </c>
      <c r="B976" s="60">
        <f>14.6775 * CHOOSE(CONTROL!$C$19, $C$13, 100%, $E$13)</f>
        <v>14.6775</v>
      </c>
      <c r="C976" s="60">
        <f>14.6775 * CHOOSE(CONTROL!$C$19, $C$13, 100%, $E$13)</f>
        <v>14.6775</v>
      </c>
      <c r="D976" s="60">
        <f>14.6927 * CHOOSE(CONTROL!$C$19, $C$13, 100%, $E$13)</f>
        <v>14.6927</v>
      </c>
      <c r="E976" s="61">
        <f>17.7349 * CHOOSE(CONTROL!$C$19, $C$13, 100%, $E$13)</f>
        <v>17.7349</v>
      </c>
      <c r="F976" s="61">
        <f>17.7349 * CHOOSE(CONTROL!$C$19, $C$13, 100%, $E$13)</f>
        <v>17.7349</v>
      </c>
      <c r="G976" s="61">
        <f>17.7351 * CHOOSE(CONTROL!$C$19, $C$13, 100%, $E$13)</f>
        <v>17.735099999999999</v>
      </c>
      <c r="H976" s="61">
        <f>24.4297* CHOOSE(CONTROL!$C$19, $C$13, 100%, $E$13)</f>
        <v>24.4297</v>
      </c>
      <c r="I976" s="61">
        <f>24.4298 * CHOOSE(CONTROL!$C$19, $C$13, 100%, $E$13)</f>
        <v>24.4298</v>
      </c>
      <c r="J976" s="61">
        <f>17.7349 * CHOOSE(CONTROL!$C$19, $C$13, 100%, $E$13)</f>
        <v>17.7349</v>
      </c>
      <c r="K976" s="61">
        <f>17.7351 * CHOOSE(CONTROL!$C$19, $C$13, 100%, $E$13)</f>
        <v>17.735099999999999</v>
      </c>
    </row>
    <row r="977" spans="1:11" ht="15">
      <c r="A977" s="13">
        <v>71590</v>
      </c>
      <c r="B977" s="60">
        <f>14.6259 * CHOOSE(CONTROL!$C$19, $C$13, 100%, $E$13)</f>
        <v>14.6259</v>
      </c>
      <c r="C977" s="60">
        <f>14.6259 * CHOOSE(CONTROL!$C$19, $C$13, 100%, $E$13)</f>
        <v>14.6259</v>
      </c>
      <c r="D977" s="60">
        <f>14.641 * CHOOSE(CONTROL!$C$19, $C$13, 100%, $E$13)</f>
        <v>14.641</v>
      </c>
      <c r="E977" s="61">
        <f>17.7733 * CHOOSE(CONTROL!$C$19, $C$13, 100%, $E$13)</f>
        <v>17.773299999999999</v>
      </c>
      <c r="F977" s="61">
        <f>17.7733 * CHOOSE(CONTROL!$C$19, $C$13, 100%, $E$13)</f>
        <v>17.773299999999999</v>
      </c>
      <c r="G977" s="61">
        <f>17.7734 * CHOOSE(CONTROL!$C$19, $C$13, 100%, $E$13)</f>
        <v>17.773399999999999</v>
      </c>
      <c r="H977" s="61">
        <f>24.2014* CHOOSE(CONTROL!$C$19, $C$13, 100%, $E$13)</f>
        <v>24.2014</v>
      </c>
      <c r="I977" s="61">
        <f>24.2016 * CHOOSE(CONTROL!$C$19, $C$13, 100%, $E$13)</f>
        <v>24.201599999999999</v>
      </c>
      <c r="J977" s="61">
        <f>17.7733 * CHOOSE(CONTROL!$C$19, $C$13, 100%, $E$13)</f>
        <v>17.773299999999999</v>
      </c>
      <c r="K977" s="61">
        <f>17.7734 * CHOOSE(CONTROL!$C$19, $C$13, 100%, $E$13)</f>
        <v>17.773399999999999</v>
      </c>
    </row>
    <row r="978" spans="1:11" ht="15">
      <c r="A978" s="13">
        <v>71621</v>
      </c>
      <c r="B978" s="60">
        <f>14.6228 * CHOOSE(CONTROL!$C$19, $C$13, 100%, $E$13)</f>
        <v>14.6228</v>
      </c>
      <c r="C978" s="60">
        <f>14.6228 * CHOOSE(CONTROL!$C$19, $C$13, 100%, $E$13)</f>
        <v>14.6228</v>
      </c>
      <c r="D978" s="60">
        <f>14.638 * CHOOSE(CONTROL!$C$19, $C$13, 100%, $E$13)</f>
        <v>14.638</v>
      </c>
      <c r="E978" s="61">
        <f>17.4743 * CHOOSE(CONTROL!$C$19, $C$13, 100%, $E$13)</f>
        <v>17.474299999999999</v>
      </c>
      <c r="F978" s="61">
        <f>17.4743 * CHOOSE(CONTROL!$C$19, $C$13, 100%, $E$13)</f>
        <v>17.474299999999999</v>
      </c>
      <c r="G978" s="61">
        <f>17.4745 * CHOOSE(CONTROL!$C$19, $C$13, 100%, $E$13)</f>
        <v>17.474499999999999</v>
      </c>
      <c r="H978" s="61">
        <f>24.2518* CHOOSE(CONTROL!$C$19, $C$13, 100%, $E$13)</f>
        <v>24.251799999999999</v>
      </c>
      <c r="I978" s="61">
        <f>24.252 * CHOOSE(CONTROL!$C$19, $C$13, 100%, $E$13)</f>
        <v>24.251999999999999</v>
      </c>
      <c r="J978" s="61">
        <f>17.4743 * CHOOSE(CONTROL!$C$19, $C$13, 100%, $E$13)</f>
        <v>17.474299999999999</v>
      </c>
      <c r="K978" s="61">
        <f>17.4745 * CHOOSE(CONTROL!$C$19, $C$13, 100%, $E$13)</f>
        <v>17.474499999999999</v>
      </c>
    </row>
    <row r="979" spans="1:11" ht="15">
      <c r="A979" s="13">
        <v>71650</v>
      </c>
      <c r="B979" s="60">
        <f>14.6198 * CHOOSE(CONTROL!$C$19, $C$13, 100%, $E$13)</f>
        <v>14.6198</v>
      </c>
      <c r="C979" s="60">
        <f>14.6198 * CHOOSE(CONTROL!$C$19, $C$13, 100%, $E$13)</f>
        <v>14.6198</v>
      </c>
      <c r="D979" s="60">
        <f>14.635 * CHOOSE(CONTROL!$C$19, $C$13, 100%, $E$13)</f>
        <v>14.635</v>
      </c>
      <c r="E979" s="61">
        <f>17.7062 * CHOOSE(CONTROL!$C$19, $C$13, 100%, $E$13)</f>
        <v>17.706199999999999</v>
      </c>
      <c r="F979" s="61">
        <f>17.7062 * CHOOSE(CONTROL!$C$19, $C$13, 100%, $E$13)</f>
        <v>17.706199999999999</v>
      </c>
      <c r="G979" s="61">
        <f>17.7064 * CHOOSE(CONTROL!$C$19, $C$13, 100%, $E$13)</f>
        <v>17.706399999999999</v>
      </c>
      <c r="H979" s="61">
        <f>24.3024* CHOOSE(CONTROL!$C$19, $C$13, 100%, $E$13)</f>
        <v>24.302399999999999</v>
      </c>
      <c r="I979" s="61">
        <f>24.3025 * CHOOSE(CONTROL!$C$19, $C$13, 100%, $E$13)</f>
        <v>24.302499999999998</v>
      </c>
      <c r="J979" s="61">
        <f>17.7062 * CHOOSE(CONTROL!$C$19, $C$13, 100%, $E$13)</f>
        <v>17.706199999999999</v>
      </c>
      <c r="K979" s="61">
        <f>17.7064 * CHOOSE(CONTROL!$C$19, $C$13, 100%, $E$13)</f>
        <v>17.706399999999999</v>
      </c>
    </row>
    <row r="980" spans="1:11" ht="15">
      <c r="A980" s="13">
        <v>71681</v>
      </c>
      <c r="B980" s="60">
        <f>14.6279 * CHOOSE(CONTROL!$C$19, $C$13, 100%, $E$13)</f>
        <v>14.6279</v>
      </c>
      <c r="C980" s="60">
        <f>14.6279 * CHOOSE(CONTROL!$C$19, $C$13, 100%, $E$13)</f>
        <v>14.6279</v>
      </c>
      <c r="D980" s="60">
        <f>14.6431 * CHOOSE(CONTROL!$C$19, $C$13, 100%, $E$13)</f>
        <v>14.6431</v>
      </c>
      <c r="E980" s="61">
        <f>17.9533 * CHOOSE(CONTROL!$C$19, $C$13, 100%, $E$13)</f>
        <v>17.953299999999999</v>
      </c>
      <c r="F980" s="61">
        <f>17.9533 * CHOOSE(CONTROL!$C$19, $C$13, 100%, $E$13)</f>
        <v>17.953299999999999</v>
      </c>
      <c r="G980" s="61">
        <f>17.9535 * CHOOSE(CONTROL!$C$19, $C$13, 100%, $E$13)</f>
        <v>17.953499999999998</v>
      </c>
      <c r="H980" s="61">
        <f>24.353* CHOOSE(CONTROL!$C$19, $C$13, 100%, $E$13)</f>
        <v>24.353000000000002</v>
      </c>
      <c r="I980" s="61">
        <f>24.3532 * CHOOSE(CONTROL!$C$19, $C$13, 100%, $E$13)</f>
        <v>24.353200000000001</v>
      </c>
      <c r="J980" s="61">
        <f>17.9533 * CHOOSE(CONTROL!$C$19, $C$13, 100%, $E$13)</f>
        <v>17.953299999999999</v>
      </c>
      <c r="K980" s="61">
        <f>17.9535 * CHOOSE(CONTROL!$C$19, $C$13, 100%, $E$13)</f>
        <v>17.953499999999998</v>
      </c>
    </row>
    <row r="981" spans="1:11" ht="15">
      <c r="A981" s="13">
        <v>71711</v>
      </c>
      <c r="B981" s="60">
        <f>14.6279 * CHOOSE(CONTROL!$C$19, $C$13, 100%, $E$13)</f>
        <v>14.6279</v>
      </c>
      <c r="C981" s="60">
        <f>14.6279 * CHOOSE(CONTROL!$C$19, $C$13, 100%, $E$13)</f>
        <v>14.6279</v>
      </c>
      <c r="D981" s="60">
        <f>14.6583 * CHOOSE(CONTROL!$C$19, $C$13, 100%, $E$13)</f>
        <v>14.658300000000001</v>
      </c>
      <c r="E981" s="61">
        <f>18.0475 * CHOOSE(CONTROL!$C$19, $C$13, 100%, $E$13)</f>
        <v>18.047499999999999</v>
      </c>
      <c r="F981" s="61">
        <f>18.0475 * CHOOSE(CONTROL!$C$19, $C$13, 100%, $E$13)</f>
        <v>18.047499999999999</v>
      </c>
      <c r="G981" s="61">
        <f>18.0494 * CHOOSE(CONTROL!$C$19, $C$13, 100%, $E$13)</f>
        <v>18.049399999999999</v>
      </c>
      <c r="H981" s="61">
        <f>24.4037* CHOOSE(CONTROL!$C$19, $C$13, 100%, $E$13)</f>
        <v>24.403700000000001</v>
      </c>
      <c r="I981" s="61">
        <f>24.4056 * CHOOSE(CONTROL!$C$19, $C$13, 100%, $E$13)</f>
        <v>24.4056</v>
      </c>
      <c r="J981" s="61">
        <f>18.0475 * CHOOSE(CONTROL!$C$19, $C$13, 100%, $E$13)</f>
        <v>18.047499999999999</v>
      </c>
      <c r="K981" s="61">
        <f>18.0494 * CHOOSE(CONTROL!$C$19, $C$13, 100%, $E$13)</f>
        <v>18.049399999999999</v>
      </c>
    </row>
    <row r="982" spans="1:11" ht="15">
      <c r="A982" s="13">
        <v>71742</v>
      </c>
      <c r="B982" s="60">
        <f>14.634 * CHOOSE(CONTROL!$C$19, $C$13, 100%, $E$13)</f>
        <v>14.634</v>
      </c>
      <c r="C982" s="60">
        <f>14.634 * CHOOSE(CONTROL!$C$19, $C$13, 100%, $E$13)</f>
        <v>14.634</v>
      </c>
      <c r="D982" s="60">
        <f>14.6644 * CHOOSE(CONTROL!$C$19, $C$13, 100%, $E$13)</f>
        <v>14.664400000000001</v>
      </c>
      <c r="E982" s="61">
        <f>17.9575 * CHOOSE(CONTROL!$C$19, $C$13, 100%, $E$13)</f>
        <v>17.9575</v>
      </c>
      <c r="F982" s="61">
        <f>17.9575 * CHOOSE(CONTROL!$C$19, $C$13, 100%, $E$13)</f>
        <v>17.9575</v>
      </c>
      <c r="G982" s="61">
        <f>17.9594 * CHOOSE(CONTROL!$C$19, $C$13, 100%, $E$13)</f>
        <v>17.959399999999999</v>
      </c>
      <c r="H982" s="61">
        <f>24.4546* CHOOSE(CONTROL!$C$19, $C$13, 100%, $E$13)</f>
        <v>24.454599999999999</v>
      </c>
      <c r="I982" s="61">
        <f>24.4565 * CHOOSE(CONTROL!$C$19, $C$13, 100%, $E$13)</f>
        <v>24.456499999999998</v>
      </c>
      <c r="J982" s="61">
        <f>17.9575 * CHOOSE(CONTROL!$C$19, $C$13, 100%, $E$13)</f>
        <v>17.9575</v>
      </c>
      <c r="K982" s="61">
        <f>17.9594 * CHOOSE(CONTROL!$C$19, $C$13, 100%, $E$13)</f>
        <v>17.959399999999999</v>
      </c>
    </row>
    <row r="983" spans="1:11" ht="15">
      <c r="A983" s="13">
        <v>71772</v>
      </c>
      <c r="B983" s="60">
        <f>14.8347 * CHOOSE(CONTROL!$C$19, $C$13, 100%, $E$13)</f>
        <v>14.8347</v>
      </c>
      <c r="C983" s="60">
        <f>14.8347 * CHOOSE(CONTROL!$C$19, $C$13, 100%, $E$13)</f>
        <v>14.8347</v>
      </c>
      <c r="D983" s="60">
        <f>14.865 * CHOOSE(CONTROL!$C$19, $C$13, 100%, $E$13)</f>
        <v>14.865</v>
      </c>
      <c r="E983" s="61">
        <f>18.2813 * CHOOSE(CONTROL!$C$19, $C$13, 100%, $E$13)</f>
        <v>18.281300000000002</v>
      </c>
      <c r="F983" s="61">
        <f>18.2813 * CHOOSE(CONTROL!$C$19, $C$13, 100%, $E$13)</f>
        <v>18.281300000000002</v>
      </c>
      <c r="G983" s="61">
        <f>18.2832 * CHOOSE(CONTROL!$C$19, $C$13, 100%, $E$13)</f>
        <v>18.283200000000001</v>
      </c>
      <c r="H983" s="61">
        <f>24.5055* CHOOSE(CONTROL!$C$19, $C$13, 100%, $E$13)</f>
        <v>24.505500000000001</v>
      </c>
      <c r="I983" s="61">
        <f>24.5074 * CHOOSE(CONTROL!$C$19, $C$13, 100%, $E$13)</f>
        <v>24.507400000000001</v>
      </c>
      <c r="J983" s="61">
        <f>18.2813 * CHOOSE(CONTROL!$C$19, $C$13, 100%, $E$13)</f>
        <v>18.281300000000002</v>
      </c>
      <c r="K983" s="61">
        <f>18.2832 * CHOOSE(CONTROL!$C$19, $C$13, 100%, $E$13)</f>
        <v>18.283200000000001</v>
      </c>
    </row>
    <row r="984" spans="1:11" ht="15">
      <c r="A984" s="13">
        <v>71803</v>
      </c>
      <c r="B984" s="60">
        <f>14.8414 * CHOOSE(CONTROL!$C$19, $C$13, 100%, $E$13)</f>
        <v>14.8414</v>
      </c>
      <c r="C984" s="60">
        <f>14.8414 * CHOOSE(CONTROL!$C$19, $C$13, 100%, $E$13)</f>
        <v>14.8414</v>
      </c>
      <c r="D984" s="60">
        <f>14.8717 * CHOOSE(CONTROL!$C$19, $C$13, 100%, $E$13)</f>
        <v>14.871700000000001</v>
      </c>
      <c r="E984" s="61">
        <f>18.0032 * CHOOSE(CONTROL!$C$19, $C$13, 100%, $E$13)</f>
        <v>18.0032</v>
      </c>
      <c r="F984" s="61">
        <f>18.0032 * CHOOSE(CONTROL!$C$19, $C$13, 100%, $E$13)</f>
        <v>18.0032</v>
      </c>
      <c r="G984" s="61">
        <f>18.0051 * CHOOSE(CONTROL!$C$19, $C$13, 100%, $E$13)</f>
        <v>18.005099999999999</v>
      </c>
      <c r="H984" s="61">
        <f>24.5566* CHOOSE(CONTROL!$C$19, $C$13, 100%, $E$13)</f>
        <v>24.5566</v>
      </c>
      <c r="I984" s="61">
        <f>24.5585 * CHOOSE(CONTROL!$C$19, $C$13, 100%, $E$13)</f>
        <v>24.558499999999999</v>
      </c>
      <c r="J984" s="61">
        <f>18.0032 * CHOOSE(CONTROL!$C$19, $C$13, 100%, $E$13)</f>
        <v>18.0032</v>
      </c>
      <c r="K984" s="61">
        <f>18.0051 * CHOOSE(CONTROL!$C$19, $C$13, 100%, $E$13)</f>
        <v>18.005099999999999</v>
      </c>
    </row>
    <row r="985" spans="1:11" ht="15">
      <c r="A985" s="13">
        <v>71834</v>
      </c>
      <c r="B985" s="60">
        <f>14.8383 * CHOOSE(CONTROL!$C$19, $C$13, 100%, $E$13)</f>
        <v>14.8383</v>
      </c>
      <c r="C985" s="60">
        <f>14.8383 * CHOOSE(CONTROL!$C$19, $C$13, 100%, $E$13)</f>
        <v>14.8383</v>
      </c>
      <c r="D985" s="60">
        <f>14.8687 * CHOOSE(CONTROL!$C$19, $C$13, 100%, $E$13)</f>
        <v>14.8687</v>
      </c>
      <c r="E985" s="61">
        <f>17.9697 * CHOOSE(CONTROL!$C$19, $C$13, 100%, $E$13)</f>
        <v>17.9697</v>
      </c>
      <c r="F985" s="61">
        <f>17.9697 * CHOOSE(CONTROL!$C$19, $C$13, 100%, $E$13)</f>
        <v>17.9697</v>
      </c>
      <c r="G985" s="61">
        <f>17.9716 * CHOOSE(CONTROL!$C$19, $C$13, 100%, $E$13)</f>
        <v>17.971599999999999</v>
      </c>
      <c r="H985" s="61">
        <f>24.6077* CHOOSE(CONTROL!$C$19, $C$13, 100%, $E$13)</f>
        <v>24.607700000000001</v>
      </c>
      <c r="I985" s="61">
        <f>24.6096 * CHOOSE(CONTROL!$C$19, $C$13, 100%, $E$13)</f>
        <v>24.6096</v>
      </c>
      <c r="J985" s="61">
        <f>17.9697 * CHOOSE(CONTROL!$C$19, $C$13, 100%, $E$13)</f>
        <v>17.9697</v>
      </c>
      <c r="K985" s="61">
        <f>17.9716 * CHOOSE(CONTROL!$C$19, $C$13, 100%, $E$13)</f>
        <v>17.971599999999999</v>
      </c>
    </row>
    <row r="986" spans="1:11" ht="15">
      <c r="A986" s="13">
        <v>71864</v>
      </c>
      <c r="B986" s="60">
        <f>14.8745 * CHOOSE(CONTROL!$C$19, $C$13, 100%, $E$13)</f>
        <v>14.874499999999999</v>
      </c>
      <c r="C986" s="60">
        <f>14.8745 * CHOOSE(CONTROL!$C$19, $C$13, 100%, $E$13)</f>
        <v>14.874499999999999</v>
      </c>
      <c r="D986" s="60">
        <f>14.8897 * CHOOSE(CONTROL!$C$19, $C$13, 100%, $E$13)</f>
        <v>14.889699999999999</v>
      </c>
      <c r="E986" s="61">
        <f>18.0819 * CHOOSE(CONTROL!$C$19, $C$13, 100%, $E$13)</f>
        <v>18.081900000000001</v>
      </c>
      <c r="F986" s="61">
        <f>18.0819 * CHOOSE(CONTROL!$C$19, $C$13, 100%, $E$13)</f>
        <v>18.081900000000001</v>
      </c>
      <c r="G986" s="61">
        <f>18.0821 * CHOOSE(CONTROL!$C$19, $C$13, 100%, $E$13)</f>
        <v>18.082100000000001</v>
      </c>
      <c r="H986" s="61">
        <f>24.659* CHOOSE(CONTROL!$C$19, $C$13, 100%, $E$13)</f>
        <v>24.658999999999999</v>
      </c>
      <c r="I986" s="61">
        <f>24.6592 * CHOOSE(CONTROL!$C$19, $C$13, 100%, $E$13)</f>
        <v>24.659199999999998</v>
      </c>
      <c r="J986" s="61">
        <f>18.0819 * CHOOSE(CONTROL!$C$19, $C$13, 100%, $E$13)</f>
        <v>18.081900000000001</v>
      </c>
      <c r="K986" s="61">
        <f>18.0821 * CHOOSE(CONTROL!$C$19, $C$13, 100%, $E$13)</f>
        <v>18.082100000000001</v>
      </c>
    </row>
    <row r="987" spans="1:11" ht="15">
      <c r="A987" s="13">
        <v>71895</v>
      </c>
      <c r="B987" s="60">
        <f>14.8776 * CHOOSE(CONTROL!$C$19, $C$13, 100%, $E$13)</f>
        <v>14.877599999999999</v>
      </c>
      <c r="C987" s="60">
        <f>14.8776 * CHOOSE(CONTROL!$C$19, $C$13, 100%, $E$13)</f>
        <v>14.877599999999999</v>
      </c>
      <c r="D987" s="60">
        <f>14.8928 * CHOOSE(CONTROL!$C$19, $C$13, 100%, $E$13)</f>
        <v>14.892799999999999</v>
      </c>
      <c r="E987" s="61">
        <f>18.1469 * CHOOSE(CONTROL!$C$19, $C$13, 100%, $E$13)</f>
        <v>18.146899999999999</v>
      </c>
      <c r="F987" s="61">
        <f>18.1469 * CHOOSE(CONTROL!$C$19, $C$13, 100%, $E$13)</f>
        <v>18.146899999999999</v>
      </c>
      <c r="G987" s="61">
        <f>18.147 * CHOOSE(CONTROL!$C$19, $C$13, 100%, $E$13)</f>
        <v>18.146999999999998</v>
      </c>
      <c r="H987" s="61">
        <f>24.7104* CHOOSE(CONTROL!$C$19, $C$13, 100%, $E$13)</f>
        <v>24.7104</v>
      </c>
      <c r="I987" s="61">
        <f>24.7105 * CHOOSE(CONTROL!$C$19, $C$13, 100%, $E$13)</f>
        <v>24.7105</v>
      </c>
      <c r="J987" s="61">
        <f>18.1469 * CHOOSE(CONTROL!$C$19, $C$13, 100%, $E$13)</f>
        <v>18.146899999999999</v>
      </c>
      <c r="K987" s="61">
        <f>18.147 * CHOOSE(CONTROL!$C$19, $C$13, 100%, $E$13)</f>
        <v>18.146999999999998</v>
      </c>
    </row>
    <row r="988" spans="1:11" ht="15">
      <c r="A988" s="13">
        <v>71925</v>
      </c>
      <c r="B988" s="60">
        <f>14.8776 * CHOOSE(CONTROL!$C$19, $C$13, 100%, $E$13)</f>
        <v>14.877599999999999</v>
      </c>
      <c r="C988" s="60">
        <f>14.8776 * CHOOSE(CONTROL!$C$19, $C$13, 100%, $E$13)</f>
        <v>14.877599999999999</v>
      </c>
      <c r="D988" s="60">
        <f>14.8928 * CHOOSE(CONTROL!$C$19, $C$13, 100%, $E$13)</f>
        <v>14.892799999999999</v>
      </c>
      <c r="E988" s="61">
        <f>17.9898 * CHOOSE(CONTROL!$C$19, $C$13, 100%, $E$13)</f>
        <v>17.989799999999999</v>
      </c>
      <c r="F988" s="61">
        <f>17.9898 * CHOOSE(CONTROL!$C$19, $C$13, 100%, $E$13)</f>
        <v>17.989799999999999</v>
      </c>
      <c r="G988" s="61">
        <f>17.99 * CHOOSE(CONTROL!$C$19, $C$13, 100%, $E$13)</f>
        <v>17.989999999999998</v>
      </c>
      <c r="H988" s="61">
        <f>24.7619* CHOOSE(CONTROL!$C$19, $C$13, 100%, $E$13)</f>
        <v>24.761900000000001</v>
      </c>
      <c r="I988" s="61">
        <f>24.762 * CHOOSE(CONTROL!$C$19, $C$13, 100%, $E$13)</f>
        <v>24.762</v>
      </c>
      <c r="J988" s="61">
        <f>17.9898 * CHOOSE(CONTROL!$C$19, $C$13, 100%, $E$13)</f>
        <v>17.989799999999999</v>
      </c>
      <c r="K988" s="61">
        <f>17.99 * CHOOSE(CONTROL!$C$19, $C$13, 100%, $E$13)</f>
        <v>17.989999999999998</v>
      </c>
    </row>
    <row r="989" spans="1:11" ht="15">
      <c r="A989" s="13">
        <v>71956</v>
      </c>
      <c r="B989" s="60">
        <f>14.8225 * CHOOSE(CONTROL!$C$19, $C$13, 100%, $E$13)</f>
        <v>14.8225</v>
      </c>
      <c r="C989" s="60">
        <f>14.8225 * CHOOSE(CONTROL!$C$19, $C$13, 100%, $E$13)</f>
        <v>14.8225</v>
      </c>
      <c r="D989" s="60">
        <f>14.8377 * CHOOSE(CONTROL!$C$19, $C$13, 100%, $E$13)</f>
        <v>14.8377</v>
      </c>
      <c r="E989" s="61">
        <f>18.0251 * CHOOSE(CONTROL!$C$19, $C$13, 100%, $E$13)</f>
        <v>18.025099999999998</v>
      </c>
      <c r="F989" s="61">
        <f>18.0251 * CHOOSE(CONTROL!$C$19, $C$13, 100%, $E$13)</f>
        <v>18.025099999999998</v>
      </c>
      <c r="G989" s="61">
        <f>18.0253 * CHOOSE(CONTROL!$C$19, $C$13, 100%, $E$13)</f>
        <v>18.025300000000001</v>
      </c>
      <c r="H989" s="61">
        <f>24.5261* CHOOSE(CONTROL!$C$19, $C$13, 100%, $E$13)</f>
        <v>24.5261</v>
      </c>
      <c r="I989" s="61">
        <f>24.5263 * CHOOSE(CONTROL!$C$19, $C$13, 100%, $E$13)</f>
        <v>24.526299999999999</v>
      </c>
      <c r="J989" s="61">
        <f>18.0251 * CHOOSE(CONTROL!$C$19, $C$13, 100%, $E$13)</f>
        <v>18.025099999999998</v>
      </c>
      <c r="K989" s="61">
        <f>18.0253 * CHOOSE(CONTROL!$C$19, $C$13, 100%, $E$13)</f>
        <v>18.025300000000001</v>
      </c>
    </row>
    <row r="990" spans="1:11" ht="15">
      <c r="A990" s="13">
        <v>71987</v>
      </c>
      <c r="B990" s="60">
        <f>14.8194 * CHOOSE(CONTROL!$C$19, $C$13, 100%, $E$13)</f>
        <v>14.8194</v>
      </c>
      <c r="C990" s="60">
        <f>14.8194 * CHOOSE(CONTROL!$C$19, $C$13, 100%, $E$13)</f>
        <v>14.8194</v>
      </c>
      <c r="D990" s="60">
        <f>14.8346 * CHOOSE(CONTROL!$C$19, $C$13, 100%, $E$13)</f>
        <v>14.8346</v>
      </c>
      <c r="E990" s="61">
        <f>17.7217 * CHOOSE(CONTROL!$C$19, $C$13, 100%, $E$13)</f>
        <v>17.721699999999998</v>
      </c>
      <c r="F990" s="61">
        <f>17.7217 * CHOOSE(CONTROL!$C$19, $C$13, 100%, $E$13)</f>
        <v>17.721699999999998</v>
      </c>
      <c r="G990" s="61">
        <f>17.7218 * CHOOSE(CONTROL!$C$19, $C$13, 100%, $E$13)</f>
        <v>17.721800000000002</v>
      </c>
      <c r="H990" s="61">
        <f>24.5772* CHOOSE(CONTROL!$C$19, $C$13, 100%, $E$13)</f>
        <v>24.577200000000001</v>
      </c>
      <c r="I990" s="61">
        <f>24.5774 * CHOOSE(CONTROL!$C$19, $C$13, 100%, $E$13)</f>
        <v>24.577400000000001</v>
      </c>
      <c r="J990" s="61">
        <f>17.7217 * CHOOSE(CONTROL!$C$19, $C$13, 100%, $E$13)</f>
        <v>17.721699999999998</v>
      </c>
      <c r="K990" s="61">
        <f>17.7218 * CHOOSE(CONTROL!$C$19, $C$13, 100%, $E$13)</f>
        <v>17.721800000000002</v>
      </c>
    </row>
    <row r="991" spans="1:11" ht="15">
      <c r="A991" s="13">
        <v>72015</v>
      </c>
      <c r="B991" s="60">
        <f>14.8164 * CHOOSE(CONTROL!$C$19, $C$13, 100%, $E$13)</f>
        <v>14.8164</v>
      </c>
      <c r="C991" s="60">
        <f>14.8164 * CHOOSE(CONTROL!$C$19, $C$13, 100%, $E$13)</f>
        <v>14.8164</v>
      </c>
      <c r="D991" s="60">
        <f>14.8316 * CHOOSE(CONTROL!$C$19, $C$13, 100%, $E$13)</f>
        <v>14.8316</v>
      </c>
      <c r="E991" s="61">
        <f>17.9571 * CHOOSE(CONTROL!$C$19, $C$13, 100%, $E$13)</f>
        <v>17.957100000000001</v>
      </c>
      <c r="F991" s="61">
        <f>17.9571 * CHOOSE(CONTROL!$C$19, $C$13, 100%, $E$13)</f>
        <v>17.957100000000001</v>
      </c>
      <c r="G991" s="61">
        <f>17.9573 * CHOOSE(CONTROL!$C$19, $C$13, 100%, $E$13)</f>
        <v>17.9573</v>
      </c>
      <c r="H991" s="61">
        <f>24.6284* CHOOSE(CONTROL!$C$19, $C$13, 100%, $E$13)</f>
        <v>24.628399999999999</v>
      </c>
      <c r="I991" s="61">
        <f>24.6286 * CHOOSE(CONTROL!$C$19, $C$13, 100%, $E$13)</f>
        <v>24.628599999999999</v>
      </c>
      <c r="J991" s="61">
        <f>17.9571 * CHOOSE(CONTROL!$C$19, $C$13, 100%, $E$13)</f>
        <v>17.957100000000001</v>
      </c>
      <c r="K991" s="61">
        <f>17.9573 * CHOOSE(CONTROL!$C$19, $C$13, 100%, $E$13)</f>
        <v>17.9573</v>
      </c>
    </row>
    <row r="992" spans="1:11" ht="15">
      <c r="A992" s="13">
        <v>72046</v>
      </c>
      <c r="B992" s="60">
        <f>14.8247 * CHOOSE(CONTROL!$C$19, $C$13, 100%, $E$13)</f>
        <v>14.8247</v>
      </c>
      <c r="C992" s="60">
        <f>14.8247 * CHOOSE(CONTROL!$C$19, $C$13, 100%, $E$13)</f>
        <v>14.8247</v>
      </c>
      <c r="D992" s="60">
        <f>14.8399 * CHOOSE(CONTROL!$C$19, $C$13, 100%, $E$13)</f>
        <v>14.8399</v>
      </c>
      <c r="E992" s="61">
        <f>18.208 * CHOOSE(CONTROL!$C$19, $C$13, 100%, $E$13)</f>
        <v>18.207999999999998</v>
      </c>
      <c r="F992" s="61">
        <f>18.208 * CHOOSE(CONTROL!$C$19, $C$13, 100%, $E$13)</f>
        <v>18.207999999999998</v>
      </c>
      <c r="G992" s="61">
        <f>18.2081 * CHOOSE(CONTROL!$C$19, $C$13, 100%, $E$13)</f>
        <v>18.208100000000002</v>
      </c>
      <c r="H992" s="61">
        <f>24.6797* CHOOSE(CONTROL!$C$19, $C$13, 100%, $E$13)</f>
        <v>24.6797</v>
      </c>
      <c r="I992" s="61">
        <f>24.6799 * CHOOSE(CONTROL!$C$19, $C$13, 100%, $E$13)</f>
        <v>24.6799</v>
      </c>
      <c r="J992" s="61">
        <f>18.208 * CHOOSE(CONTROL!$C$19, $C$13, 100%, $E$13)</f>
        <v>18.207999999999998</v>
      </c>
      <c r="K992" s="61">
        <f>18.2081 * CHOOSE(CONTROL!$C$19, $C$13, 100%, $E$13)</f>
        <v>18.208100000000002</v>
      </c>
    </row>
    <row r="993" spans="1:11" ht="15">
      <c r="A993" s="13">
        <v>72076</v>
      </c>
      <c r="B993" s="60">
        <f>14.8247 * CHOOSE(CONTROL!$C$19, $C$13, 100%, $E$13)</f>
        <v>14.8247</v>
      </c>
      <c r="C993" s="60">
        <f>14.8247 * CHOOSE(CONTROL!$C$19, $C$13, 100%, $E$13)</f>
        <v>14.8247</v>
      </c>
      <c r="D993" s="60">
        <f>14.8551 * CHOOSE(CONTROL!$C$19, $C$13, 100%, $E$13)</f>
        <v>14.8551</v>
      </c>
      <c r="E993" s="61">
        <f>18.3036 * CHOOSE(CONTROL!$C$19, $C$13, 100%, $E$13)</f>
        <v>18.303599999999999</v>
      </c>
      <c r="F993" s="61">
        <f>18.3036 * CHOOSE(CONTROL!$C$19, $C$13, 100%, $E$13)</f>
        <v>18.303599999999999</v>
      </c>
      <c r="G993" s="61">
        <f>18.3055 * CHOOSE(CONTROL!$C$19, $C$13, 100%, $E$13)</f>
        <v>18.305499999999999</v>
      </c>
      <c r="H993" s="61">
        <f>24.7311* CHOOSE(CONTROL!$C$19, $C$13, 100%, $E$13)</f>
        <v>24.731100000000001</v>
      </c>
      <c r="I993" s="61">
        <f>24.733 * CHOOSE(CONTROL!$C$19, $C$13, 100%, $E$13)</f>
        <v>24.733000000000001</v>
      </c>
      <c r="J993" s="61">
        <f>18.3036 * CHOOSE(CONTROL!$C$19, $C$13, 100%, $E$13)</f>
        <v>18.303599999999999</v>
      </c>
      <c r="K993" s="61">
        <f>18.3055 * CHOOSE(CONTROL!$C$19, $C$13, 100%, $E$13)</f>
        <v>18.305499999999999</v>
      </c>
    </row>
    <row r="994" spans="1:11" ht="15">
      <c r="A994" s="13">
        <v>72107</v>
      </c>
      <c r="B994" s="60">
        <f>14.8308 * CHOOSE(CONTROL!$C$19, $C$13, 100%, $E$13)</f>
        <v>14.8308</v>
      </c>
      <c r="C994" s="60">
        <f>14.8308 * CHOOSE(CONTROL!$C$19, $C$13, 100%, $E$13)</f>
        <v>14.8308</v>
      </c>
      <c r="D994" s="60">
        <f>14.8612 * CHOOSE(CONTROL!$C$19, $C$13, 100%, $E$13)</f>
        <v>14.8612</v>
      </c>
      <c r="E994" s="61">
        <f>18.2122 * CHOOSE(CONTROL!$C$19, $C$13, 100%, $E$13)</f>
        <v>18.212199999999999</v>
      </c>
      <c r="F994" s="61">
        <f>18.2122 * CHOOSE(CONTROL!$C$19, $C$13, 100%, $E$13)</f>
        <v>18.212199999999999</v>
      </c>
      <c r="G994" s="61">
        <f>18.2141 * CHOOSE(CONTROL!$C$19, $C$13, 100%, $E$13)</f>
        <v>18.214099999999998</v>
      </c>
      <c r="H994" s="61">
        <f>24.7826* CHOOSE(CONTROL!$C$19, $C$13, 100%, $E$13)</f>
        <v>24.782599999999999</v>
      </c>
      <c r="I994" s="61">
        <f>24.7845 * CHOOSE(CONTROL!$C$19, $C$13, 100%, $E$13)</f>
        <v>24.784500000000001</v>
      </c>
      <c r="J994" s="61">
        <f>18.2122 * CHOOSE(CONTROL!$C$19, $C$13, 100%, $E$13)</f>
        <v>18.212199999999999</v>
      </c>
      <c r="K994" s="61">
        <f>18.2141 * CHOOSE(CONTROL!$C$19, $C$13, 100%, $E$13)</f>
        <v>18.214099999999998</v>
      </c>
    </row>
    <row r="995" spans="1:11" ht="15">
      <c r="A995" s="13">
        <v>72137</v>
      </c>
      <c r="B995" s="60">
        <f>15.034 * CHOOSE(CONTROL!$C$19, $C$13, 100%, $E$13)</f>
        <v>15.034000000000001</v>
      </c>
      <c r="C995" s="60">
        <f>15.034 * CHOOSE(CONTROL!$C$19, $C$13, 100%, $E$13)</f>
        <v>15.034000000000001</v>
      </c>
      <c r="D995" s="60">
        <f>15.0643 * CHOOSE(CONTROL!$C$19, $C$13, 100%, $E$13)</f>
        <v>15.064299999999999</v>
      </c>
      <c r="E995" s="61">
        <f>18.5404 * CHOOSE(CONTROL!$C$19, $C$13, 100%, $E$13)</f>
        <v>18.540400000000002</v>
      </c>
      <c r="F995" s="61">
        <f>18.5404 * CHOOSE(CONTROL!$C$19, $C$13, 100%, $E$13)</f>
        <v>18.540400000000002</v>
      </c>
      <c r="G995" s="61">
        <f>18.5423 * CHOOSE(CONTROL!$C$19, $C$13, 100%, $E$13)</f>
        <v>18.542300000000001</v>
      </c>
      <c r="H995" s="61">
        <f>24.8343* CHOOSE(CONTROL!$C$19, $C$13, 100%, $E$13)</f>
        <v>24.834299999999999</v>
      </c>
      <c r="I995" s="61">
        <f>24.8362 * CHOOSE(CONTROL!$C$19, $C$13, 100%, $E$13)</f>
        <v>24.836200000000002</v>
      </c>
      <c r="J995" s="61">
        <f>18.5404 * CHOOSE(CONTROL!$C$19, $C$13, 100%, $E$13)</f>
        <v>18.540400000000002</v>
      </c>
      <c r="K995" s="61">
        <f>18.5423 * CHOOSE(CONTROL!$C$19, $C$13, 100%, $E$13)</f>
        <v>18.542300000000001</v>
      </c>
    </row>
    <row r="996" spans="1:11" ht="15">
      <c r="A996" s="13">
        <v>72168</v>
      </c>
      <c r="B996" s="60">
        <f>15.0407 * CHOOSE(CONTROL!$C$19, $C$13, 100%, $E$13)</f>
        <v>15.040699999999999</v>
      </c>
      <c r="C996" s="60">
        <f>15.0407 * CHOOSE(CONTROL!$C$19, $C$13, 100%, $E$13)</f>
        <v>15.040699999999999</v>
      </c>
      <c r="D996" s="60">
        <f>15.071 * CHOOSE(CONTROL!$C$19, $C$13, 100%, $E$13)</f>
        <v>15.071</v>
      </c>
      <c r="E996" s="61">
        <f>18.258 * CHOOSE(CONTROL!$C$19, $C$13, 100%, $E$13)</f>
        <v>18.257999999999999</v>
      </c>
      <c r="F996" s="61">
        <f>18.258 * CHOOSE(CONTROL!$C$19, $C$13, 100%, $E$13)</f>
        <v>18.257999999999999</v>
      </c>
      <c r="G996" s="61">
        <f>18.2599 * CHOOSE(CONTROL!$C$19, $C$13, 100%, $E$13)</f>
        <v>18.259899999999998</v>
      </c>
      <c r="H996" s="61">
        <f>24.886* CHOOSE(CONTROL!$C$19, $C$13, 100%, $E$13)</f>
        <v>24.885999999999999</v>
      </c>
      <c r="I996" s="61">
        <f>24.8879 * CHOOSE(CONTROL!$C$19, $C$13, 100%, $E$13)</f>
        <v>24.887899999999998</v>
      </c>
      <c r="J996" s="61">
        <f>18.258 * CHOOSE(CONTROL!$C$19, $C$13, 100%, $E$13)</f>
        <v>18.257999999999999</v>
      </c>
      <c r="K996" s="61">
        <f>18.2599 * CHOOSE(CONTROL!$C$19, $C$13, 100%, $E$13)</f>
        <v>18.259899999999998</v>
      </c>
    </row>
    <row r="997" spans="1:11" ht="15">
      <c r="A997" s="13">
        <v>72199</v>
      </c>
      <c r="B997" s="60">
        <f>15.0376 * CHOOSE(CONTROL!$C$19, $C$13, 100%, $E$13)</f>
        <v>15.037599999999999</v>
      </c>
      <c r="C997" s="60">
        <f>15.0376 * CHOOSE(CONTROL!$C$19, $C$13, 100%, $E$13)</f>
        <v>15.037599999999999</v>
      </c>
      <c r="D997" s="60">
        <f>15.068 * CHOOSE(CONTROL!$C$19, $C$13, 100%, $E$13)</f>
        <v>15.068</v>
      </c>
      <c r="E997" s="61">
        <f>18.224 * CHOOSE(CONTROL!$C$19, $C$13, 100%, $E$13)</f>
        <v>18.224</v>
      </c>
      <c r="F997" s="61">
        <f>18.224 * CHOOSE(CONTROL!$C$19, $C$13, 100%, $E$13)</f>
        <v>18.224</v>
      </c>
      <c r="G997" s="61">
        <f>18.2259 * CHOOSE(CONTROL!$C$19, $C$13, 100%, $E$13)</f>
        <v>18.225899999999999</v>
      </c>
      <c r="H997" s="61">
        <f>24.9378* CHOOSE(CONTROL!$C$19, $C$13, 100%, $E$13)</f>
        <v>24.937799999999999</v>
      </c>
      <c r="I997" s="61">
        <f>24.9397 * CHOOSE(CONTROL!$C$19, $C$13, 100%, $E$13)</f>
        <v>24.939699999999998</v>
      </c>
      <c r="J997" s="61">
        <f>18.224 * CHOOSE(CONTROL!$C$19, $C$13, 100%, $E$13)</f>
        <v>18.224</v>
      </c>
      <c r="K997" s="61">
        <f>18.2259 * CHOOSE(CONTROL!$C$19, $C$13, 100%, $E$13)</f>
        <v>18.225899999999999</v>
      </c>
    </row>
    <row r="998" spans="1:11" ht="15">
      <c r="A998" s="13">
        <v>72229</v>
      </c>
      <c r="B998" s="60">
        <f>15.0746 * CHOOSE(CONTROL!$C$19, $C$13, 100%, $E$13)</f>
        <v>15.0746</v>
      </c>
      <c r="C998" s="60">
        <f>15.0746 * CHOOSE(CONTROL!$C$19, $C$13, 100%, $E$13)</f>
        <v>15.0746</v>
      </c>
      <c r="D998" s="60">
        <f>15.0898 * CHOOSE(CONTROL!$C$19, $C$13, 100%, $E$13)</f>
        <v>15.0898</v>
      </c>
      <c r="E998" s="61">
        <f>18.3382 * CHOOSE(CONTROL!$C$19, $C$13, 100%, $E$13)</f>
        <v>18.338200000000001</v>
      </c>
      <c r="F998" s="61">
        <f>18.3382 * CHOOSE(CONTROL!$C$19, $C$13, 100%, $E$13)</f>
        <v>18.338200000000001</v>
      </c>
      <c r="G998" s="61">
        <f>18.3383 * CHOOSE(CONTROL!$C$19, $C$13, 100%, $E$13)</f>
        <v>18.3383</v>
      </c>
      <c r="H998" s="61">
        <f>24.9898* CHOOSE(CONTROL!$C$19, $C$13, 100%, $E$13)</f>
        <v>24.989799999999999</v>
      </c>
      <c r="I998" s="61">
        <f>24.99 * CHOOSE(CONTROL!$C$19, $C$13, 100%, $E$13)</f>
        <v>24.99</v>
      </c>
      <c r="J998" s="61">
        <f>18.3382 * CHOOSE(CONTROL!$C$19, $C$13, 100%, $E$13)</f>
        <v>18.338200000000001</v>
      </c>
      <c r="K998" s="61">
        <f>18.3383 * CHOOSE(CONTROL!$C$19, $C$13, 100%, $E$13)</f>
        <v>18.3383</v>
      </c>
    </row>
    <row r="999" spans="1:11" ht="15">
      <c r="A999" s="13">
        <v>72260</v>
      </c>
      <c r="B999" s="60">
        <f>15.0776 * CHOOSE(CONTROL!$C$19, $C$13, 100%, $E$13)</f>
        <v>15.0776</v>
      </c>
      <c r="C999" s="60">
        <f>15.0776 * CHOOSE(CONTROL!$C$19, $C$13, 100%, $E$13)</f>
        <v>15.0776</v>
      </c>
      <c r="D999" s="60">
        <f>15.0928 * CHOOSE(CONTROL!$C$19, $C$13, 100%, $E$13)</f>
        <v>15.0928</v>
      </c>
      <c r="E999" s="61">
        <f>18.4041 * CHOOSE(CONTROL!$C$19, $C$13, 100%, $E$13)</f>
        <v>18.4041</v>
      </c>
      <c r="F999" s="61">
        <f>18.4041 * CHOOSE(CONTROL!$C$19, $C$13, 100%, $E$13)</f>
        <v>18.4041</v>
      </c>
      <c r="G999" s="61">
        <f>18.4042 * CHOOSE(CONTROL!$C$19, $C$13, 100%, $E$13)</f>
        <v>18.404199999999999</v>
      </c>
      <c r="H999" s="61">
        <f>25.0419* CHOOSE(CONTROL!$C$19, $C$13, 100%, $E$13)</f>
        <v>25.041899999999998</v>
      </c>
      <c r="I999" s="61">
        <f>25.042 * CHOOSE(CONTROL!$C$19, $C$13, 100%, $E$13)</f>
        <v>25.042000000000002</v>
      </c>
      <c r="J999" s="61">
        <f>18.4041 * CHOOSE(CONTROL!$C$19, $C$13, 100%, $E$13)</f>
        <v>18.4041</v>
      </c>
      <c r="K999" s="61">
        <f>18.4042 * CHOOSE(CONTROL!$C$19, $C$13, 100%, $E$13)</f>
        <v>18.404199999999999</v>
      </c>
    </row>
    <row r="1000" spans="1:11" ht="15">
      <c r="A1000" s="13">
        <v>72290</v>
      </c>
      <c r="B1000" s="60">
        <f>15.0776 * CHOOSE(CONTROL!$C$19, $C$13, 100%, $E$13)</f>
        <v>15.0776</v>
      </c>
      <c r="C1000" s="60">
        <f>15.0776 * CHOOSE(CONTROL!$C$19, $C$13, 100%, $E$13)</f>
        <v>15.0776</v>
      </c>
      <c r="D1000" s="60">
        <f>15.0928 * CHOOSE(CONTROL!$C$19, $C$13, 100%, $E$13)</f>
        <v>15.0928</v>
      </c>
      <c r="E1000" s="61">
        <f>18.2446 * CHOOSE(CONTROL!$C$19, $C$13, 100%, $E$13)</f>
        <v>18.244599999999998</v>
      </c>
      <c r="F1000" s="61">
        <f>18.2446 * CHOOSE(CONTROL!$C$19, $C$13, 100%, $E$13)</f>
        <v>18.244599999999998</v>
      </c>
      <c r="G1000" s="61">
        <f>18.2448 * CHOOSE(CONTROL!$C$19, $C$13, 100%, $E$13)</f>
        <v>18.244800000000001</v>
      </c>
      <c r="H1000" s="61">
        <f>25.094* CHOOSE(CONTROL!$C$19, $C$13, 100%, $E$13)</f>
        <v>25.094000000000001</v>
      </c>
      <c r="I1000" s="61">
        <f>25.0942 * CHOOSE(CONTROL!$C$19, $C$13, 100%, $E$13)</f>
        <v>25.094200000000001</v>
      </c>
      <c r="J1000" s="61">
        <f>18.2446 * CHOOSE(CONTROL!$C$19, $C$13, 100%, $E$13)</f>
        <v>18.244599999999998</v>
      </c>
      <c r="K1000" s="61">
        <f>18.2448 * CHOOSE(CONTROL!$C$19, $C$13, 100%, $E$13)</f>
        <v>18.244800000000001</v>
      </c>
    </row>
    <row r="1001" spans="1:11" ht="15">
      <c r="A1001" s="13">
        <v>72321</v>
      </c>
      <c r="B1001" s="60">
        <f>15.0191 * CHOOSE(CONTROL!$C$19, $C$13, 100%, $E$13)</f>
        <v>15.0191</v>
      </c>
      <c r="C1001" s="60">
        <f>15.0191 * CHOOSE(CONTROL!$C$19, $C$13, 100%, $E$13)</f>
        <v>15.0191</v>
      </c>
      <c r="D1001" s="60">
        <f>15.0343 * CHOOSE(CONTROL!$C$19, $C$13, 100%, $E$13)</f>
        <v>15.0343</v>
      </c>
      <c r="E1001" s="61">
        <f>18.2769 * CHOOSE(CONTROL!$C$19, $C$13, 100%, $E$13)</f>
        <v>18.276900000000001</v>
      </c>
      <c r="F1001" s="61">
        <f>18.2769 * CHOOSE(CONTROL!$C$19, $C$13, 100%, $E$13)</f>
        <v>18.276900000000001</v>
      </c>
      <c r="G1001" s="61">
        <f>18.2771 * CHOOSE(CONTROL!$C$19, $C$13, 100%, $E$13)</f>
        <v>18.277100000000001</v>
      </c>
      <c r="H1001" s="61">
        <f>24.8507* CHOOSE(CONTROL!$C$19, $C$13, 100%, $E$13)</f>
        <v>24.8507</v>
      </c>
      <c r="I1001" s="61">
        <f>24.8509 * CHOOSE(CONTROL!$C$19, $C$13, 100%, $E$13)</f>
        <v>24.850899999999999</v>
      </c>
      <c r="J1001" s="61">
        <f>18.2769 * CHOOSE(CONTROL!$C$19, $C$13, 100%, $E$13)</f>
        <v>18.276900000000001</v>
      </c>
      <c r="K1001" s="61">
        <f>18.2771 * CHOOSE(CONTROL!$C$19, $C$13, 100%, $E$13)</f>
        <v>18.277100000000001</v>
      </c>
    </row>
    <row r="1002" spans="1:11" ht="15">
      <c r="A1002" s="13">
        <v>72352</v>
      </c>
      <c r="B1002" s="60">
        <f>15.0161 * CHOOSE(CONTROL!$C$19, $C$13, 100%, $E$13)</f>
        <v>15.0161</v>
      </c>
      <c r="C1002" s="60">
        <f>15.0161 * CHOOSE(CONTROL!$C$19, $C$13, 100%, $E$13)</f>
        <v>15.0161</v>
      </c>
      <c r="D1002" s="60">
        <f>15.0312 * CHOOSE(CONTROL!$C$19, $C$13, 100%, $E$13)</f>
        <v>15.0312</v>
      </c>
      <c r="E1002" s="61">
        <f>17.969 * CHOOSE(CONTROL!$C$19, $C$13, 100%, $E$13)</f>
        <v>17.969000000000001</v>
      </c>
      <c r="F1002" s="61">
        <f>17.969 * CHOOSE(CONTROL!$C$19, $C$13, 100%, $E$13)</f>
        <v>17.969000000000001</v>
      </c>
      <c r="G1002" s="61">
        <f>17.9692 * CHOOSE(CONTROL!$C$19, $C$13, 100%, $E$13)</f>
        <v>17.969200000000001</v>
      </c>
      <c r="H1002" s="61">
        <f>24.9025* CHOOSE(CONTROL!$C$19, $C$13, 100%, $E$13)</f>
        <v>24.9025</v>
      </c>
      <c r="I1002" s="61">
        <f>24.9027 * CHOOSE(CONTROL!$C$19, $C$13, 100%, $E$13)</f>
        <v>24.902699999999999</v>
      </c>
      <c r="J1002" s="61">
        <f>17.969 * CHOOSE(CONTROL!$C$19, $C$13, 100%, $E$13)</f>
        <v>17.969000000000001</v>
      </c>
      <c r="K1002" s="61">
        <f>17.9692 * CHOOSE(CONTROL!$C$19, $C$13, 100%, $E$13)</f>
        <v>17.969200000000001</v>
      </c>
    </row>
    <row r="1003" spans="1:11" ht="15">
      <c r="A1003" s="13">
        <v>72380</v>
      </c>
      <c r="B1003" s="60">
        <f>15.013 * CHOOSE(CONTROL!$C$19, $C$13, 100%, $E$13)</f>
        <v>15.013</v>
      </c>
      <c r="C1003" s="60">
        <f>15.013 * CHOOSE(CONTROL!$C$19, $C$13, 100%, $E$13)</f>
        <v>15.013</v>
      </c>
      <c r="D1003" s="60">
        <f>15.0282 * CHOOSE(CONTROL!$C$19, $C$13, 100%, $E$13)</f>
        <v>15.0282</v>
      </c>
      <c r="E1003" s="61">
        <f>18.208 * CHOOSE(CONTROL!$C$19, $C$13, 100%, $E$13)</f>
        <v>18.207999999999998</v>
      </c>
      <c r="F1003" s="61">
        <f>18.208 * CHOOSE(CONTROL!$C$19, $C$13, 100%, $E$13)</f>
        <v>18.207999999999998</v>
      </c>
      <c r="G1003" s="61">
        <f>18.2082 * CHOOSE(CONTROL!$C$19, $C$13, 100%, $E$13)</f>
        <v>18.208200000000001</v>
      </c>
      <c r="H1003" s="61">
        <f>24.9544* CHOOSE(CONTROL!$C$19, $C$13, 100%, $E$13)</f>
        <v>24.9544</v>
      </c>
      <c r="I1003" s="61">
        <f>24.9546 * CHOOSE(CONTROL!$C$19, $C$13, 100%, $E$13)</f>
        <v>24.954599999999999</v>
      </c>
      <c r="J1003" s="61">
        <f>18.208 * CHOOSE(CONTROL!$C$19, $C$13, 100%, $E$13)</f>
        <v>18.207999999999998</v>
      </c>
      <c r="K1003" s="61">
        <f>18.2082 * CHOOSE(CONTROL!$C$19, $C$13, 100%, $E$13)</f>
        <v>18.208200000000001</v>
      </c>
    </row>
    <row r="1004" spans="1:11" ht="15">
      <c r="A1004" s="13">
        <v>72411</v>
      </c>
      <c r="B1004" s="60">
        <f>15.0215 * CHOOSE(CONTROL!$C$19, $C$13, 100%, $E$13)</f>
        <v>15.0215</v>
      </c>
      <c r="C1004" s="60">
        <f>15.0215 * CHOOSE(CONTROL!$C$19, $C$13, 100%, $E$13)</f>
        <v>15.0215</v>
      </c>
      <c r="D1004" s="60">
        <f>15.0367 * CHOOSE(CONTROL!$C$19, $C$13, 100%, $E$13)</f>
        <v>15.0367</v>
      </c>
      <c r="E1004" s="61">
        <f>18.4626 * CHOOSE(CONTROL!$C$19, $C$13, 100%, $E$13)</f>
        <v>18.462599999999998</v>
      </c>
      <c r="F1004" s="61">
        <f>18.4626 * CHOOSE(CONTROL!$C$19, $C$13, 100%, $E$13)</f>
        <v>18.462599999999998</v>
      </c>
      <c r="G1004" s="61">
        <f>18.4628 * CHOOSE(CONTROL!$C$19, $C$13, 100%, $E$13)</f>
        <v>18.462800000000001</v>
      </c>
      <c r="H1004" s="61">
        <f>25.0064* CHOOSE(CONTROL!$C$19, $C$13, 100%, $E$13)</f>
        <v>25.006399999999999</v>
      </c>
      <c r="I1004" s="61">
        <f>25.0066 * CHOOSE(CONTROL!$C$19, $C$13, 100%, $E$13)</f>
        <v>25.006599999999999</v>
      </c>
      <c r="J1004" s="61">
        <f>18.4626 * CHOOSE(CONTROL!$C$19, $C$13, 100%, $E$13)</f>
        <v>18.462599999999998</v>
      </c>
      <c r="K1004" s="61">
        <f>18.4628 * CHOOSE(CONTROL!$C$19, $C$13, 100%, $E$13)</f>
        <v>18.462800000000001</v>
      </c>
    </row>
    <row r="1005" spans="1:11" ht="15">
      <c r="A1005" s="13">
        <v>72441</v>
      </c>
      <c r="B1005" s="60">
        <f>15.0215 * CHOOSE(CONTROL!$C$19, $C$13, 100%, $E$13)</f>
        <v>15.0215</v>
      </c>
      <c r="C1005" s="60">
        <f>15.0215 * CHOOSE(CONTROL!$C$19, $C$13, 100%, $E$13)</f>
        <v>15.0215</v>
      </c>
      <c r="D1005" s="60">
        <f>15.0519 * CHOOSE(CONTROL!$C$19, $C$13, 100%, $E$13)</f>
        <v>15.0519</v>
      </c>
      <c r="E1005" s="61">
        <f>18.5597 * CHOOSE(CONTROL!$C$19, $C$13, 100%, $E$13)</f>
        <v>18.559699999999999</v>
      </c>
      <c r="F1005" s="61">
        <f>18.5597 * CHOOSE(CONTROL!$C$19, $C$13, 100%, $E$13)</f>
        <v>18.559699999999999</v>
      </c>
      <c r="G1005" s="61">
        <f>18.5616 * CHOOSE(CONTROL!$C$19, $C$13, 100%, $E$13)</f>
        <v>18.561599999999999</v>
      </c>
      <c r="H1005" s="61">
        <f>25.0585* CHOOSE(CONTROL!$C$19, $C$13, 100%, $E$13)</f>
        <v>25.058499999999999</v>
      </c>
      <c r="I1005" s="61">
        <f>25.0604 * CHOOSE(CONTROL!$C$19, $C$13, 100%, $E$13)</f>
        <v>25.060400000000001</v>
      </c>
      <c r="J1005" s="61">
        <f>18.5597 * CHOOSE(CONTROL!$C$19, $C$13, 100%, $E$13)</f>
        <v>18.559699999999999</v>
      </c>
      <c r="K1005" s="61">
        <f>18.5616 * CHOOSE(CONTROL!$C$19, $C$13, 100%, $E$13)</f>
        <v>18.561599999999999</v>
      </c>
    </row>
    <row r="1006" spans="1:11" ht="15">
      <c r="A1006" s="13">
        <v>72472</v>
      </c>
      <c r="B1006" s="60">
        <f>15.0276 * CHOOSE(CONTROL!$C$19, $C$13, 100%, $E$13)</f>
        <v>15.0276</v>
      </c>
      <c r="C1006" s="60">
        <f>15.0276 * CHOOSE(CONTROL!$C$19, $C$13, 100%, $E$13)</f>
        <v>15.0276</v>
      </c>
      <c r="D1006" s="60">
        <f>15.058 * CHOOSE(CONTROL!$C$19, $C$13, 100%, $E$13)</f>
        <v>15.058</v>
      </c>
      <c r="E1006" s="61">
        <f>18.4669 * CHOOSE(CONTROL!$C$19, $C$13, 100%, $E$13)</f>
        <v>18.466899999999999</v>
      </c>
      <c r="F1006" s="61">
        <f>18.4669 * CHOOSE(CONTROL!$C$19, $C$13, 100%, $E$13)</f>
        <v>18.466899999999999</v>
      </c>
      <c r="G1006" s="61">
        <f>18.4688 * CHOOSE(CONTROL!$C$19, $C$13, 100%, $E$13)</f>
        <v>18.468800000000002</v>
      </c>
      <c r="H1006" s="61">
        <f>25.1107* CHOOSE(CONTROL!$C$19, $C$13, 100%, $E$13)</f>
        <v>25.110700000000001</v>
      </c>
      <c r="I1006" s="61">
        <f>25.1126 * CHOOSE(CONTROL!$C$19, $C$13, 100%, $E$13)</f>
        <v>25.1126</v>
      </c>
      <c r="J1006" s="61">
        <f>18.4669 * CHOOSE(CONTROL!$C$19, $C$13, 100%, $E$13)</f>
        <v>18.466899999999999</v>
      </c>
      <c r="K1006" s="61">
        <f>18.4688 * CHOOSE(CONTROL!$C$19, $C$13, 100%, $E$13)</f>
        <v>18.468800000000002</v>
      </c>
    </row>
    <row r="1007" spans="1:11" ht="15">
      <c r="A1007" s="13">
        <v>72502</v>
      </c>
      <c r="B1007" s="60">
        <f>15.2333 * CHOOSE(CONTROL!$C$19, $C$13, 100%, $E$13)</f>
        <v>15.2333</v>
      </c>
      <c r="C1007" s="60">
        <f>15.2333 * CHOOSE(CONTROL!$C$19, $C$13, 100%, $E$13)</f>
        <v>15.2333</v>
      </c>
      <c r="D1007" s="60">
        <f>15.2637 * CHOOSE(CONTROL!$C$19, $C$13, 100%, $E$13)</f>
        <v>15.2637</v>
      </c>
      <c r="E1007" s="61">
        <f>18.7995 * CHOOSE(CONTROL!$C$19, $C$13, 100%, $E$13)</f>
        <v>18.799499999999998</v>
      </c>
      <c r="F1007" s="61">
        <f>18.7995 * CHOOSE(CONTROL!$C$19, $C$13, 100%, $E$13)</f>
        <v>18.799499999999998</v>
      </c>
      <c r="G1007" s="61">
        <f>18.8014 * CHOOSE(CONTROL!$C$19, $C$13, 100%, $E$13)</f>
        <v>18.801400000000001</v>
      </c>
      <c r="H1007" s="61">
        <f>25.163* CHOOSE(CONTROL!$C$19, $C$13, 100%, $E$13)</f>
        <v>25.163</v>
      </c>
      <c r="I1007" s="61">
        <f>25.1649 * CHOOSE(CONTROL!$C$19, $C$13, 100%, $E$13)</f>
        <v>25.164899999999999</v>
      </c>
      <c r="J1007" s="61">
        <f>18.7995 * CHOOSE(CONTROL!$C$19, $C$13, 100%, $E$13)</f>
        <v>18.799499999999998</v>
      </c>
      <c r="K1007" s="61">
        <f>18.8014 * CHOOSE(CONTROL!$C$19, $C$13, 100%, $E$13)</f>
        <v>18.801400000000001</v>
      </c>
    </row>
    <row r="1008" spans="1:11" ht="15">
      <c r="A1008" s="13">
        <v>72533</v>
      </c>
      <c r="B1008" s="60">
        <f>15.24 * CHOOSE(CONTROL!$C$19, $C$13, 100%, $E$13)</f>
        <v>15.24</v>
      </c>
      <c r="C1008" s="60">
        <f>15.24 * CHOOSE(CONTROL!$C$19, $C$13, 100%, $E$13)</f>
        <v>15.24</v>
      </c>
      <c r="D1008" s="60">
        <f>15.2703 * CHOOSE(CONTROL!$C$19, $C$13, 100%, $E$13)</f>
        <v>15.270300000000001</v>
      </c>
      <c r="E1008" s="61">
        <f>18.5129 * CHOOSE(CONTROL!$C$19, $C$13, 100%, $E$13)</f>
        <v>18.512899999999998</v>
      </c>
      <c r="F1008" s="61">
        <f>18.5129 * CHOOSE(CONTROL!$C$19, $C$13, 100%, $E$13)</f>
        <v>18.512899999999998</v>
      </c>
      <c r="G1008" s="61">
        <f>18.5148 * CHOOSE(CONTROL!$C$19, $C$13, 100%, $E$13)</f>
        <v>18.514800000000001</v>
      </c>
      <c r="H1008" s="61">
        <f>25.2154* CHOOSE(CONTROL!$C$19, $C$13, 100%, $E$13)</f>
        <v>25.215399999999999</v>
      </c>
      <c r="I1008" s="61">
        <f>25.2173 * CHOOSE(CONTROL!$C$19, $C$13, 100%, $E$13)</f>
        <v>25.217300000000002</v>
      </c>
      <c r="J1008" s="61">
        <f>18.5129 * CHOOSE(CONTROL!$C$19, $C$13, 100%, $E$13)</f>
        <v>18.512899999999998</v>
      </c>
      <c r="K1008" s="61">
        <f>18.5148 * CHOOSE(CONTROL!$C$19, $C$13, 100%, $E$13)</f>
        <v>18.514800000000001</v>
      </c>
    </row>
    <row r="1009" spans="1:11" ht="15">
      <c r="A1009" s="13">
        <v>72564</v>
      </c>
      <c r="B1009" s="60">
        <f>15.2369 * CHOOSE(CONTROL!$C$19, $C$13, 100%, $E$13)</f>
        <v>15.2369</v>
      </c>
      <c r="C1009" s="60">
        <f>15.2369 * CHOOSE(CONTROL!$C$19, $C$13, 100%, $E$13)</f>
        <v>15.2369</v>
      </c>
      <c r="D1009" s="60">
        <f>15.2673 * CHOOSE(CONTROL!$C$19, $C$13, 100%, $E$13)</f>
        <v>15.267300000000001</v>
      </c>
      <c r="E1009" s="61">
        <f>18.4784 * CHOOSE(CONTROL!$C$19, $C$13, 100%, $E$13)</f>
        <v>18.478400000000001</v>
      </c>
      <c r="F1009" s="61">
        <f>18.4784 * CHOOSE(CONTROL!$C$19, $C$13, 100%, $E$13)</f>
        <v>18.478400000000001</v>
      </c>
      <c r="G1009" s="61">
        <f>18.4803 * CHOOSE(CONTROL!$C$19, $C$13, 100%, $E$13)</f>
        <v>18.4803</v>
      </c>
      <c r="H1009" s="61">
        <f>25.268* CHOOSE(CONTROL!$C$19, $C$13, 100%, $E$13)</f>
        <v>25.268000000000001</v>
      </c>
      <c r="I1009" s="61">
        <f>25.2699 * CHOOSE(CONTROL!$C$19, $C$13, 100%, $E$13)</f>
        <v>25.2699</v>
      </c>
      <c r="J1009" s="61">
        <f>18.4784 * CHOOSE(CONTROL!$C$19, $C$13, 100%, $E$13)</f>
        <v>18.478400000000001</v>
      </c>
      <c r="K1009" s="61">
        <f>18.4803 * CHOOSE(CONTROL!$C$19, $C$13, 100%, $E$13)</f>
        <v>18.4803</v>
      </c>
    </row>
    <row r="1010" spans="1:11" ht="15">
      <c r="A1010" s="13">
        <v>72594</v>
      </c>
      <c r="B1010" s="60">
        <f>15.2747 * CHOOSE(CONTROL!$C$19, $C$13, 100%, $E$13)</f>
        <v>15.274699999999999</v>
      </c>
      <c r="C1010" s="60">
        <f>15.2747 * CHOOSE(CONTROL!$C$19, $C$13, 100%, $E$13)</f>
        <v>15.274699999999999</v>
      </c>
      <c r="D1010" s="60">
        <f>15.2899 * CHOOSE(CONTROL!$C$19, $C$13, 100%, $E$13)</f>
        <v>15.289899999999999</v>
      </c>
      <c r="E1010" s="61">
        <f>18.5944 * CHOOSE(CONTROL!$C$19, $C$13, 100%, $E$13)</f>
        <v>18.5944</v>
      </c>
      <c r="F1010" s="61">
        <f>18.5944 * CHOOSE(CONTROL!$C$19, $C$13, 100%, $E$13)</f>
        <v>18.5944</v>
      </c>
      <c r="G1010" s="61">
        <f>18.5946 * CHOOSE(CONTROL!$C$19, $C$13, 100%, $E$13)</f>
        <v>18.5946</v>
      </c>
      <c r="H1010" s="61">
        <f>25.3206* CHOOSE(CONTROL!$C$19, $C$13, 100%, $E$13)</f>
        <v>25.320599999999999</v>
      </c>
      <c r="I1010" s="61">
        <f>25.3208 * CHOOSE(CONTROL!$C$19, $C$13, 100%, $E$13)</f>
        <v>25.320799999999998</v>
      </c>
      <c r="J1010" s="61">
        <f>18.5944 * CHOOSE(CONTROL!$C$19, $C$13, 100%, $E$13)</f>
        <v>18.5944</v>
      </c>
      <c r="K1010" s="61">
        <f>18.5946 * CHOOSE(CONTROL!$C$19, $C$13, 100%, $E$13)</f>
        <v>18.5946</v>
      </c>
    </row>
    <row r="1011" spans="1:11" ht="15">
      <c r="A1011" s="13">
        <v>72625</v>
      </c>
      <c r="B1011" s="60">
        <f>15.2777 * CHOOSE(CONTROL!$C$19, $C$13, 100%, $E$13)</f>
        <v>15.277699999999999</v>
      </c>
      <c r="C1011" s="60">
        <f>15.2777 * CHOOSE(CONTROL!$C$19, $C$13, 100%, $E$13)</f>
        <v>15.277699999999999</v>
      </c>
      <c r="D1011" s="60">
        <f>15.2929 * CHOOSE(CONTROL!$C$19, $C$13, 100%, $E$13)</f>
        <v>15.292899999999999</v>
      </c>
      <c r="E1011" s="61">
        <f>18.6613 * CHOOSE(CONTROL!$C$19, $C$13, 100%, $E$13)</f>
        <v>18.661300000000001</v>
      </c>
      <c r="F1011" s="61">
        <f>18.6613 * CHOOSE(CONTROL!$C$19, $C$13, 100%, $E$13)</f>
        <v>18.661300000000001</v>
      </c>
      <c r="G1011" s="61">
        <f>18.6614 * CHOOSE(CONTROL!$C$19, $C$13, 100%, $E$13)</f>
        <v>18.6614</v>
      </c>
      <c r="H1011" s="61">
        <f>25.3733* CHOOSE(CONTROL!$C$19, $C$13, 100%, $E$13)</f>
        <v>25.3733</v>
      </c>
      <c r="I1011" s="61">
        <f>25.3735 * CHOOSE(CONTROL!$C$19, $C$13, 100%, $E$13)</f>
        <v>25.3735</v>
      </c>
      <c r="J1011" s="61">
        <f>18.6613 * CHOOSE(CONTROL!$C$19, $C$13, 100%, $E$13)</f>
        <v>18.661300000000001</v>
      </c>
      <c r="K1011" s="61">
        <f>18.6614 * CHOOSE(CONTROL!$C$19, $C$13, 100%, $E$13)</f>
        <v>18.6614</v>
      </c>
    </row>
    <row r="1012" spans="1:11" ht="15">
      <c r="A1012" s="13">
        <v>72655</v>
      </c>
      <c r="B1012" s="60">
        <f>15.2777 * CHOOSE(CONTROL!$C$19, $C$13, 100%, $E$13)</f>
        <v>15.277699999999999</v>
      </c>
      <c r="C1012" s="60">
        <f>15.2777 * CHOOSE(CONTROL!$C$19, $C$13, 100%, $E$13)</f>
        <v>15.277699999999999</v>
      </c>
      <c r="D1012" s="60">
        <f>15.2929 * CHOOSE(CONTROL!$C$19, $C$13, 100%, $E$13)</f>
        <v>15.292899999999999</v>
      </c>
      <c r="E1012" s="61">
        <f>18.4995 * CHOOSE(CONTROL!$C$19, $C$13, 100%, $E$13)</f>
        <v>18.499500000000001</v>
      </c>
      <c r="F1012" s="61">
        <f>18.4995 * CHOOSE(CONTROL!$C$19, $C$13, 100%, $E$13)</f>
        <v>18.499500000000001</v>
      </c>
      <c r="G1012" s="61">
        <f>18.4996 * CHOOSE(CONTROL!$C$19, $C$13, 100%, $E$13)</f>
        <v>18.499600000000001</v>
      </c>
      <c r="H1012" s="61">
        <f>25.4262* CHOOSE(CONTROL!$C$19, $C$13, 100%, $E$13)</f>
        <v>25.426200000000001</v>
      </c>
      <c r="I1012" s="61">
        <f>25.4264 * CHOOSE(CONTROL!$C$19, $C$13, 100%, $E$13)</f>
        <v>25.426400000000001</v>
      </c>
      <c r="J1012" s="61">
        <f>18.4995 * CHOOSE(CONTROL!$C$19, $C$13, 100%, $E$13)</f>
        <v>18.499500000000001</v>
      </c>
      <c r="K1012" s="61">
        <f>18.4996 * CHOOSE(CONTROL!$C$19, $C$13, 100%, $E$13)</f>
        <v>18.499600000000001</v>
      </c>
    </row>
    <row r="1013" spans="1:11" ht="15">
      <c r="A1013" s="13">
        <v>72686</v>
      </c>
      <c r="B1013" s="60">
        <f>15.2157 * CHOOSE(CONTROL!$C$19, $C$13, 100%, $E$13)</f>
        <v>15.2157</v>
      </c>
      <c r="C1013" s="60">
        <f>15.2157 * CHOOSE(CONTROL!$C$19, $C$13, 100%, $E$13)</f>
        <v>15.2157</v>
      </c>
      <c r="D1013" s="60">
        <f>15.2309 * CHOOSE(CONTROL!$C$19, $C$13, 100%, $E$13)</f>
        <v>15.2309</v>
      </c>
      <c r="E1013" s="61">
        <f>18.5288 * CHOOSE(CONTROL!$C$19, $C$13, 100%, $E$13)</f>
        <v>18.5288</v>
      </c>
      <c r="F1013" s="61">
        <f>18.5288 * CHOOSE(CONTROL!$C$19, $C$13, 100%, $E$13)</f>
        <v>18.5288</v>
      </c>
      <c r="G1013" s="61">
        <f>18.5289 * CHOOSE(CONTROL!$C$19, $C$13, 100%, $E$13)</f>
        <v>18.5289</v>
      </c>
      <c r="H1013" s="61">
        <f>25.1754* CHOOSE(CONTROL!$C$19, $C$13, 100%, $E$13)</f>
        <v>25.1754</v>
      </c>
      <c r="I1013" s="61">
        <f>25.1756 * CHOOSE(CONTROL!$C$19, $C$13, 100%, $E$13)</f>
        <v>25.175599999999999</v>
      </c>
      <c r="J1013" s="61">
        <f>18.5288 * CHOOSE(CONTROL!$C$19, $C$13, 100%, $E$13)</f>
        <v>18.5288</v>
      </c>
      <c r="K1013" s="61">
        <f>18.5289 * CHOOSE(CONTROL!$C$19, $C$13, 100%, $E$13)</f>
        <v>18.5289</v>
      </c>
    </row>
    <row r="1014" spans="1:11" ht="15">
      <c r="A1014" s="13">
        <v>72717</v>
      </c>
      <c r="B1014" s="60">
        <f>15.2127 * CHOOSE(CONTROL!$C$19, $C$13, 100%, $E$13)</f>
        <v>15.2127</v>
      </c>
      <c r="C1014" s="60">
        <f>15.2127 * CHOOSE(CONTROL!$C$19, $C$13, 100%, $E$13)</f>
        <v>15.2127</v>
      </c>
      <c r="D1014" s="60">
        <f>15.2279 * CHOOSE(CONTROL!$C$19, $C$13, 100%, $E$13)</f>
        <v>15.2279</v>
      </c>
      <c r="E1014" s="61">
        <f>18.2164 * CHOOSE(CONTROL!$C$19, $C$13, 100%, $E$13)</f>
        <v>18.2164</v>
      </c>
      <c r="F1014" s="61">
        <f>18.2164 * CHOOSE(CONTROL!$C$19, $C$13, 100%, $E$13)</f>
        <v>18.2164</v>
      </c>
      <c r="G1014" s="61">
        <f>18.2166 * CHOOSE(CONTROL!$C$19, $C$13, 100%, $E$13)</f>
        <v>18.2166</v>
      </c>
      <c r="H1014" s="61">
        <f>25.2279* CHOOSE(CONTROL!$C$19, $C$13, 100%, $E$13)</f>
        <v>25.227900000000002</v>
      </c>
      <c r="I1014" s="61">
        <f>25.228 * CHOOSE(CONTROL!$C$19, $C$13, 100%, $E$13)</f>
        <v>25.228000000000002</v>
      </c>
      <c r="J1014" s="61">
        <f>18.2164 * CHOOSE(CONTROL!$C$19, $C$13, 100%, $E$13)</f>
        <v>18.2164</v>
      </c>
      <c r="K1014" s="61">
        <f>18.2166 * CHOOSE(CONTROL!$C$19, $C$13, 100%, $E$13)</f>
        <v>18.2166</v>
      </c>
    </row>
    <row r="1015" spans="1:11" ht="15">
      <c r="A1015" s="13">
        <v>72745</v>
      </c>
      <c r="B1015" s="60">
        <f>15.2096 * CHOOSE(CONTROL!$C$19, $C$13, 100%, $E$13)</f>
        <v>15.2096</v>
      </c>
      <c r="C1015" s="60">
        <f>15.2096 * CHOOSE(CONTROL!$C$19, $C$13, 100%, $E$13)</f>
        <v>15.2096</v>
      </c>
      <c r="D1015" s="60">
        <f>15.2248 * CHOOSE(CONTROL!$C$19, $C$13, 100%, $E$13)</f>
        <v>15.2248</v>
      </c>
      <c r="E1015" s="61">
        <f>18.4589 * CHOOSE(CONTROL!$C$19, $C$13, 100%, $E$13)</f>
        <v>18.4589</v>
      </c>
      <c r="F1015" s="61">
        <f>18.4589 * CHOOSE(CONTROL!$C$19, $C$13, 100%, $E$13)</f>
        <v>18.4589</v>
      </c>
      <c r="G1015" s="61">
        <f>18.459 * CHOOSE(CONTROL!$C$19, $C$13, 100%, $E$13)</f>
        <v>18.459</v>
      </c>
      <c r="H1015" s="61">
        <f>25.2804* CHOOSE(CONTROL!$C$19, $C$13, 100%, $E$13)</f>
        <v>25.2804</v>
      </c>
      <c r="I1015" s="61">
        <f>25.2806 * CHOOSE(CONTROL!$C$19, $C$13, 100%, $E$13)</f>
        <v>25.2806</v>
      </c>
      <c r="J1015" s="61">
        <f>18.4589 * CHOOSE(CONTROL!$C$19, $C$13, 100%, $E$13)</f>
        <v>18.4589</v>
      </c>
      <c r="K1015" s="61">
        <f>18.459 * CHOOSE(CONTROL!$C$19, $C$13, 100%, $E$13)</f>
        <v>18.459</v>
      </c>
    </row>
    <row r="1016" spans="1:11" ht="15">
      <c r="A1016" s="13">
        <v>72776</v>
      </c>
      <c r="B1016" s="60">
        <f>15.2183 * CHOOSE(CONTROL!$C$19, $C$13, 100%, $E$13)</f>
        <v>15.218299999999999</v>
      </c>
      <c r="C1016" s="60">
        <f>15.2183 * CHOOSE(CONTROL!$C$19, $C$13, 100%, $E$13)</f>
        <v>15.218299999999999</v>
      </c>
      <c r="D1016" s="60">
        <f>15.2335 * CHOOSE(CONTROL!$C$19, $C$13, 100%, $E$13)</f>
        <v>15.233499999999999</v>
      </c>
      <c r="E1016" s="61">
        <f>18.7173 * CHOOSE(CONTROL!$C$19, $C$13, 100%, $E$13)</f>
        <v>18.717300000000002</v>
      </c>
      <c r="F1016" s="61">
        <f>18.7173 * CHOOSE(CONTROL!$C$19, $C$13, 100%, $E$13)</f>
        <v>18.717300000000002</v>
      </c>
      <c r="G1016" s="61">
        <f>18.7175 * CHOOSE(CONTROL!$C$19, $C$13, 100%, $E$13)</f>
        <v>18.717500000000001</v>
      </c>
      <c r="H1016" s="61">
        <f>25.3331* CHOOSE(CONTROL!$C$19, $C$13, 100%, $E$13)</f>
        <v>25.333100000000002</v>
      </c>
      <c r="I1016" s="61">
        <f>25.3333 * CHOOSE(CONTROL!$C$19, $C$13, 100%, $E$13)</f>
        <v>25.333300000000001</v>
      </c>
      <c r="J1016" s="61">
        <f>18.7173 * CHOOSE(CONTROL!$C$19, $C$13, 100%, $E$13)</f>
        <v>18.717300000000002</v>
      </c>
      <c r="K1016" s="61">
        <f>18.7175 * CHOOSE(CONTROL!$C$19, $C$13, 100%, $E$13)</f>
        <v>18.717500000000001</v>
      </c>
    </row>
    <row r="1017" spans="1:11" ht="15">
      <c r="A1017" s="13">
        <v>72806</v>
      </c>
      <c r="B1017" s="60">
        <f>15.2183 * CHOOSE(CONTROL!$C$19, $C$13, 100%, $E$13)</f>
        <v>15.218299999999999</v>
      </c>
      <c r="C1017" s="60">
        <f>15.2183 * CHOOSE(CONTROL!$C$19, $C$13, 100%, $E$13)</f>
        <v>15.218299999999999</v>
      </c>
      <c r="D1017" s="60">
        <f>15.2487 * CHOOSE(CONTROL!$C$19, $C$13, 100%, $E$13)</f>
        <v>15.248699999999999</v>
      </c>
      <c r="E1017" s="61">
        <f>18.8158 * CHOOSE(CONTROL!$C$19, $C$13, 100%, $E$13)</f>
        <v>18.815799999999999</v>
      </c>
      <c r="F1017" s="61">
        <f>18.8158 * CHOOSE(CONTROL!$C$19, $C$13, 100%, $E$13)</f>
        <v>18.815799999999999</v>
      </c>
      <c r="G1017" s="61">
        <f>18.8177 * CHOOSE(CONTROL!$C$19, $C$13, 100%, $E$13)</f>
        <v>18.817699999999999</v>
      </c>
      <c r="H1017" s="61">
        <f>25.3859* CHOOSE(CONTROL!$C$19, $C$13, 100%, $E$13)</f>
        <v>25.385899999999999</v>
      </c>
      <c r="I1017" s="61">
        <f>25.3878 * CHOOSE(CONTROL!$C$19, $C$13, 100%, $E$13)</f>
        <v>25.387799999999999</v>
      </c>
      <c r="J1017" s="61">
        <f>18.8158 * CHOOSE(CONTROL!$C$19, $C$13, 100%, $E$13)</f>
        <v>18.815799999999999</v>
      </c>
      <c r="K1017" s="61">
        <f>18.8177 * CHOOSE(CONTROL!$C$19, $C$13, 100%, $E$13)</f>
        <v>18.817699999999999</v>
      </c>
    </row>
    <row r="1018" spans="1:11" ht="15">
      <c r="A1018" s="13">
        <v>72837</v>
      </c>
      <c r="B1018" s="60">
        <f>15.2244 * CHOOSE(CONTROL!$C$19, $C$13, 100%, $E$13)</f>
        <v>15.224399999999999</v>
      </c>
      <c r="C1018" s="60">
        <f>15.2244 * CHOOSE(CONTROL!$C$19, $C$13, 100%, $E$13)</f>
        <v>15.224399999999999</v>
      </c>
      <c r="D1018" s="60">
        <f>15.2548 * CHOOSE(CONTROL!$C$19, $C$13, 100%, $E$13)</f>
        <v>15.254799999999999</v>
      </c>
      <c r="E1018" s="61">
        <f>18.7215 * CHOOSE(CONTROL!$C$19, $C$13, 100%, $E$13)</f>
        <v>18.721499999999999</v>
      </c>
      <c r="F1018" s="61">
        <f>18.7215 * CHOOSE(CONTROL!$C$19, $C$13, 100%, $E$13)</f>
        <v>18.721499999999999</v>
      </c>
      <c r="G1018" s="61">
        <f>18.7234 * CHOOSE(CONTROL!$C$19, $C$13, 100%, $E$13)</f>
        <v>18.723400000000002</v>
      </c>
      <c r="H1018" s="61">
        <f>25.4387* CHOOSE(CONTROL!$C$19, $C$13, 100%, $E$13)</f>
        <v>25.438700000000001</v>
      </c>
      <c r="I1018" s="61">
        <f>25.4406 * CHOOSE(CONTROL!$C$19, $C$13, 100%, $E$13)</f>
        <v>25.4406</v>
      </c>
      <c r="J1018" s="61">
        <f>18.7215 * CHOOSE(CONTROL!$C$19, $C$13, 100%, $E$13)</f>
        <v>18.721499999999999</v>
      </c>
      <c r="K1018" s="61">
        <f>18.7234 * CHOOSE(CONTROL!$C$19, $C$13, 100%, $E$13)</f>
        <v>18.723400000000002</v>
      </c>
    </row>
    <row r="1019" spans="1:11" ht="15">
      <c r="A1019" s="13">
        <v>72867</v>
      </c>
      <c r="B1019" s="60">
        <f>15.4326 * CHOOSE(CONTROL!$C$19, $C$13, 100%, $E$13)</f>
        <v>15.432600000000001</v>
      </c>
      <c r="C1019" s="60">
        <f>15.4326 * CHOOSE(CONTROL!$C$19, $C$13, 100%, $E$13)</f>
        <v>15.432600000000001</v>
      </c>
      <c r="D1019" s="60">
        <f>15.463 * CHOOSE(CONTROL!$C$19, $C$13, 100%, $E$13)</f>
        <v>15.462999999999999</v>
      </c>
      <c r="E1019" s="61">
        <f>19.0586 * CHOOSE(CONTROL!$C$19, $C$13, 100%, $E$13)</f>
        <v>19.058599999999998</v>
      </c>
      <c r="F1019" s="61">
        <f>19.0586 * CHOOSE(CONTROL!$C$19, $C$13, 100%, $E$13)</f>
        <v>19.058599999999998</v>
      </c>
      <c r="G1019" s="61">
        <f>19.0605 * CHOOSE(CONTROL!$C$19, $C$13, 100%, $E$13)</f>
        <v>19.060500000000001</v>
      </c>
      <c r="H1019" s="61">
        <f>25.4917* CHOOSE(CONTROL!$C$19, $C$13, 100%, $E$13)</f>
        <v>25.491700000000002</v>
      </c>
      <c r="I1019" s="61">
        <f>25.4936 * CHOOSE(CONTROL!$C$19, $C$13, 100%, $E$13)</f>
        <v>25.493600000000001</v>
      </c>
      <c r="J1019" s="61">
        <f>19.0586 * CHOOSE(CONTROL!$C$19, $C$13, 100%, $E$13)</f>
        <v>19.058599999999998</v>
      </c>
      <c r="K1019" s="61">
        <f>19.0605 * CHOOSE(CONTROL!$C$19, $C$13, 100%, $E$13)</f>
        <v>19.060500000000001</v>
      </c>
    </row>
    <row r="1020" spans="1:11" ht="15">
      <c r="A1020" s="13">
        <v>72898</v>
      </c>
      <c r="B1020" s="60">
        <f>15.4393 * CHOOSE(CONTROL!$C$19, $C$13, 100%, $E$13)</f>
        <v>15.439299999999999</v>
      </c>
      <c r="C1020" s="60">
        <f>15.4393 * CHOOSE(CONTROL!$C$19, $C$13, 100%, $E$13)</f>
        <v>15.439299999999999</v>
      </c>
      <c r="D1020" s="60">
        <f>15.4697 * CHOOSE(CONTROL!$C$19, $C$13, 100%, $E$13)</f>
        <v>15.4697</v>
      </c>
      <c r="E1020" s="61">
        <f>18.7677 * CHOOSE(CONTROL!$C$19, $C$13, 100%, $E$13)</f>
        <v>18.767700000000001</v>
      </c>
      <c r="F1020" s="61">
        <f>18.7677 * CHOOSE(CONTROL!$C$19, $C$13, 100%, $E$13)</f>
        <v>18.767700000000001</v>
      </c>
      <c r="G1020" s="61">
        <f>18.7696 * CHOOSE(CONTROL!$C$19, $C$13, 100%, $E$13)</f>
        <v>18.769600000000001</v>
      </c>
      <c r="H1020" s="61">
        <f>25.5448* CHOOSE(CONTROL!$C$19, $C$13, 100%, $E$13)</f>
        <v>25.544799999999999</v>
      </c>
      <c r="I1020" s="61">
        <f>25.5468 * CHOOSE(CONTROL!$C$19, $C$13, 100%, $E$13)</f>
        <v>25.546800000000001</v>
      </c>
      <c r="J1020" s="61">
        <f>18.7677 * CHOOSE(CONTROL!$C$19, $C$13, 100%, $E$13)</f>
        <v>18.767700000000001</v>
      </c>
      <c r="K1020" s="61">
        <f>18.7696 * CHOOSE(CONTROL!$C$19, $C$13, 100%, $E$13)</f>
        <v>18.769600000000001</v>
      </c>
    </row>
    <row r="1021" spans="1:11" ht="15">
      <c r="A1021" s="13">
        <v>72929</v>
      </c>
      <c r="B1021" s="60">
        <f>15.4363 * CHOOSE(CONTROL!$C$19, $C$13, 100%, $E$13)</f>
        <v>15.436299999999999</v>
      </c>
      <c r="C1021" s="60">
        <f>15.4363 * CHOOSE(CONTROL!$C$19, $C$13, 100%, $E$13)</f>
        <v>15.436299999999999</v>
      </c>
      <c r="D1021" s="60">
        <f>15.4666 * CHOOSE(CONTROL!$C$19, $C$13, 100%, $E$13)</f>
        <v>15.4666</v>
      </c>
      <c r="E1021" s="61">
        <f>18.7328 * CHOOSE(CONTROL!$C$19, $C$13, 100%, $E$13)</f>
        <v>18.732800000000001</v>
      </c>
      <c r="F1021" s="61">
        <f>18.7328 * CHOOSE(CONTROL!$C$19, $C$13, 100%, $E$13)</f>
        <v>18.732800000000001</v>
      </c>
      <c r="G1021" s="61">
        <f>18.7347 * CHOOSE(CONTROL!$C$19, $C$13, 100%, $E$13)</f>
        <v>18.7347</v>
      </c>
      <c r="H1021" s="61">
        <f>25.5981* CHOOSE(CONTROL!$C$19, $C$13, 100%, $E$13)</f>
        <v>25.598099999999999</v>
      </c>
      <c r="I1021" s="61">
        <f>25.6 * CHOOSE(CONTROL!$C$19, $C$13, 100%, $E$13)</f>
        <v>25.6</v>
      </c>
      <c r="J1021" s="61">
        <f>18.7328 * CHOOSE(CONTROL!$C$19, $C$13, 100%, $E$13)</f>
        <v>18.732800000000001</v>
      </c>
      <c r="K1021" s="61">
        <f>18.7347 * CHOOSE(CONTROL!$C$19, $C$13, 100%, $E$13)</f>
        <v>18.7347</v>
      </c>
    </row>
    <row r="1022" spans="1:11" ht="15">
      <c r="A1022" s="13">
        <v>72959</v>
      </c>
      <c r="B1022" s="60">
        <f>15.4747 * CHOOSE(CONTROL!$C$19, $C$13, 100%, $E$13)</f>
        <v>15.4747</v>
      </c>
      <c r="C1022" s="60">
        <f>15.4747 * CHOOSE(CONTROL!$C$19, $C$13, 100%, $E$13)</f>
        <v>15.4747</v>
      </c>
      <c r="D1022" s="60">
        <f>15.4899 * CHOOSE(CONTROL!$C$19, $C$13, 100%, $E$13)</f>
        <v>15.4899</v>
      </c>
      <c r="E1022" s="61">
        <f>18.8507 * CHOOSE(CONTROL!$C$19, $C$13, 100%, $E$13)</f>
        <v>18.8507</v>
      </c>
      <c r="F1022" s="61">
        <f>18.8507 * CHOOSE(CONTROL!$C$19, $C$13, 100%, $E$13)</f>
        <v>18.8507</v>
      </c>
      <c r="G1022" s="61">
        <f>18.8509 * CHOOSE(CONTROL!$C$19, $C$13, 100%, $E$13)</f>
        <v>18.850899999999999</v>
      </c>
      <c r="H1022" s="61">
        <f>25.6514* CHOOSE(CONTROL!$C$19, $C$13, 100%, $E$13)</f>
        <v>25.651399999999999</v>
      </c>
      <c r="I1022" s="61">
        <f>25.6516 * CHOOSE(CONTROL!$C$19, $C$13, 100%, $E$13)</f>
        <v>25.651599999999998</v>
      </c>
      <c r="J1022" s="61">
        <f>18.8507 * CHOOSE(CONTROL!$C$19, $C$13, 100%, $E$13)</f>
        <v>18.8507</v>
      </c>
      <c r="K1022" s="61">
        <f>18.8509 * CHOOSE(CONTROL!$C$19, $C$13, 100%, $E$13)</f>
        <v>18.850899999999999</v>
      </c>
    </row>
    <row r="1023" spans="1:11" ht="15">
      <c r="A1023" s="13">
        <v>72990</v>
      </c>
      <c r="B1023" s="60">
        <f>15.4778 * CHOOSE(CONTROL!$C$19, $C$13, 100%, $E$13)</f>
        <v>15.4778</v>
      </c>
      <c r="C1023" s="60">
        <f>15.4778 * CHOOSE(CONTROL!$C$19, $C$13, 100%, $E$13)</f>
        <v>15.4778</v>
      </c>
      <c r="D1023" s="60">
        <f>15.493 * CHOOSE(CONTROL!$C$19, $C$13, 100%, $E$13)</f>
        <v>15.493</v>
      </c>
      <c r="E1023" s="61">
        <f>18.9185 * CHOOSE(CONTROL!$C$19, $C$13, 100%, $E$13)</f>
        <v>18.918500000000002</v>
      </c>
      <c r="F1023" s="61">
        <f>18.9185 * CHOOSE(CONTROL!$C$19, $C$13, 100%, $E$13)</f>
        <v>18.918500000000002</v>
      </c>
      <c r="G1023" s="61">
        <f>18.9187 * CHOOSE(CONTROL!$C$19, $C$13, 100%, $E$13)</f>
        <v>18.918700000000001</v>
      </c>
      <c r="H1023" s="61">
        <f>25.7048* CHOOSE(CONTROL!$C$19, $C$13, 100%, $E$13)</f>
        <v>25.704799999999999</v>
      </c>
      <c r="I1023" s="61">
        <f>25.705 * CHOOSE(CONTROL!$C$19, $C$13, 100%, $E$13)</f>
        <v>25.704999999999998</v>
      </c>
      <c r="J1023" s="61">
        <f>18.9185 * CHOOSE(CONTROL!$C$19, $C$13, 100%, $E$13)</f>
        <v>18.918500000000002</v>
      </c>
      <c r="K1023" s="61">
        <f>18.9187 * CHOOSE(CONTROL!$C$19, $C$13, 100%, $E$13)</f>
        <v>18.918700000000001</v>
      </c>
    </row>
    <row r="1024" spans="1:11" ht="15">
      <c r="A1024" s="13">
        <v>73020</v>
      </c>
      <c r="B1024" s="60">
        <f>15.4778 * CHOOSE(CONTROL!$C$19, $C$13, 100%, $E$13)</f>
        <v>15.4778</v>
      </c>
      <c r="C1024" s="60">
        <f>15.4778 * CHOOSE(CONTROL!$C$19, $C$13, 100%, $E$13)</f>
        <v>15.4778</v>
      </c>
      <c r="D1024" s="60">
        <f>15.493 * CHOOSE(CONTROL!$C$19, $C$13, 100%, $E$13)</f>
        <v>15.493</v>
      </c>
      <c r="E1024" s="61">
        <f>18.7543 * CHOOSE(CONTROL!$C$19, $C$13, 100%, $E$13)</f>
        <v>18.754300000000001</v>
      </c>
      <c r="F1024" s="61">
        <f>18.7543 * CHOOSE(CONTROL!$C$19, $C$13, 100%, $E$13)</f>
        <v>18.754300000000001</v>
      </c>
      <c r="G1024" s="61">
        <f>18.7545 * CHOOSE(CONTROL!$C$19, $C$13, 100%, $E$13)</f>
        <v>18.7545</v>
      </c>
      <c r="H1024" s="61">
        <f>25.7584* CHOOSE(CONTROL!$C$19, $C$13, 100%, $E$13)</f>
        <v>25.758400000000002</v>
      </c>
      <c r="I1024" s="61">
        <f>25.7586 * CHOOSE(CONTROL!$C$19, $C$13, 100%, $E$13)</f>
        <v>25.758600000000001</v>
      </c>
      <c r="J1024" s="61">
        <f>18.7543 * CHOOSE(CONTROL!$C$19, $C$13, 100%, $E$13)</f>
        <v>18.754300000000001</v>
      </c>
      <c r="K1024" s="61">
        <f>18.7545 * CHOOSE(CONTROL!$C$19, $C$13, 100%, $E$13)</f>
        <v>18.7545</v>
      </c>
    </row>
    <row r="1025" spans="1:11" ht="15">
      <c r="A1025" s="13">
        <v>73051</v>
      </c>
      <c r="B1025" s="60">
        <f>15.4123 * CHOOSE(CONTROL!$C$19, $C$13, 100%, $E$13)</f>
        <v>15.4123</v>
      </c>
      <c r="C1025" s="60">
        <f>15.4123 * CHOOSE(CONTROL!$C$19, $C$13, 100%, $E$13)</f>
        <v>15.4123</v>
      </c>
      <c r="D1025" s="60">
        <f>15.4275 * CHOOSE(CONTROL!$C$19, $C$13, 100%, $E$13)</f>
        <v>15.4275</v>
      </c>
      <c r="E1025" s="61">
        <f>18.7806 * CHOOSE(CONTROL!$C$19, $C$13, 100%, $E$13)</f>
        <v>18.7806</v>
      </c>
      <c r="F1025" s="61">
        <f>18.7806 * CHOOSE(CONTROL!$C$19, $C$13, 100%, $E$13)</f>
        <v>18.7806</v>
      </c>
      <c r="G1025" s="61">
        <f>18.7808 * CHOOSE(CONTROL!$C$19, $C$13, 100%, $E$13)</f>
        <v>18.780799999999999</v>
      </c>
      <c r="H1025" s="61">
        <f>25.5001* CHOOSE(CONTROL!$C$19, $C$13, 100%, $E$13)</f>
        <v>25.5001</v>
      </c>
      <c r="I1025" s="61">
        <f>25.5002 * CHOOSE(CONTROL!$C$19, $C$13, 100%, $E$13)</f>
        <v>25.5002</v>
      </c>
      <c r="J1025" s="61">
        <f>18.7806 * CHOOSE(CONTROL!$C$19, $C$13, 100%, $E$13)</f>
        <v>18.7806</v>
      </c>
      <c r="K1025" s="61">
        <f>18.7808 * CHOOSE(CONTROL!$C$19, $C$13, 100%, $E$13)</f>
        <v>18.780799999999999</v>
      </c>
    </row>
    <row r="1026" spans="1:11" ht="15">
      <c r="A1026" s="13">
        <v>73082</v>
      </c>
      <c r="B1026" s="60">
        <f>15.4093 * CHOOSE(CONTROL!$C$19, $C$13, 100%, $E$13)</f>
        <v>15.4093</v>
      </c>
      <c r="C1026" s="60">
        <f>15.4093 * CHOOSE(CONTROL!$C$19, $C$13, 100%, $E$13)</f>
        <v>15.4093</v>
      </c>
      <c r="D1026" s="60">
        <f>15.4245 * CHOOSE(CONTROL!$C$19, $C$13, 100%, $E$13)</f>
        <v>15.4245</v>
      </c>
      <c r="E1026" s="61">
        <f>18.4638 * CHOOSE(CONTROL!$C$19, $C$13, 100%, $E$13)</f>
        <v>18.463799999999999</v>
      </c>
      <c r="F1026" s="61">
        <f>18.4638 * CHOOSE(CONTROL!$C$19, $C$13, 100%, $E$13)</f>
        <v>18.463799999999999</v>
      </c>
      <c r="G1026" s="61">
        <f>18.4639 * CHOOSE(CONTROL!$C$19, $C$13, 100%, $E$13)</f>
        <v>18.463899999999999</v>
      </c>
      <c r="H1026" s="61">
        <f>25.5532* CHOOSE(CONTROL!$C$19, $C$13, 100%, $E$13)</f>
        <v>25.5532</v>
      </c>
      <c r="I1026" s="61">
        <f>25.5534 * CHOOSE(CONTROL!$C$19, $C$13, 100%, $E$13)</f>
        <v>25.5534</v>
      </c>
      <c r="J1026" s="61">
        <f>18.4638 * CHOOSE(CONTROL!$C$19, $C$13, 100%, $E$13)</f>
        <v>18.463799999999999</v>
      </c>
      <c r="K1026" s="61">
        <f>18.4639 * CHOOSE(CONTROL!$C$19, $C$13, 100%, $E$13)</f>
        <v>18.463899999999999</v>
      </c>
    </row>
    <row r="1027" spans="1:11" ht="15">
      <c r="A1027" s="13">
        <v>73110</v>
      </c>
      <c r="B1027" s="60">
        <f>15.4063 * CHOOSE(CONTROL!$C$19, $C$13, 100%, $E$13)</f>
        <v>15.4063</v>
      </c>
      <c r="C1027" s="60">
        <f>15.4063 * CHOOSE(CONTROL!$C$19, $C$13, 100%, $E$13)</f>
        <v>15.4063</v>
      </c>
      <c r="D1027" s="60">
        <f>15.4214 * CHOOSE(CONTROL!$C$19, $C$13, 100%, $E$13)</f>
        <v>15.4214</v>
      </c>
      <c r="E1027" s="61">
        <f>18.7098 * CHOOSE(CONTROL!$C$19, $C$13, 100%, $E$13)</f>
        <v>18.709800000000001</v>
      </c>
      <c r="F1027" s="61">
        <f>18.7098 * CHOOSE(CONTROL!$C$19, $C$13, 100%, $E$13)</f>
        <v>18.709800000000001</v>
      </c>
      <c r="G1027" s="61">
        <f>18.7099 * CHOOSE(CONTROL!$C$19, $C$13, 100%, $E$13)</f>
        <v>18.709900000000001</v>
      </c>
      <c r="H1027" s="61">
        <f>25.6064* CHOOSE(CONTROL!$C$19, $C$13, 100%, $E$13)</f>
        <v>25.606400000000001</v>
      </c>
      <c r="I1027" s="61">
        <f>25.6066 * CHOOSE(CONTROL!$C$19, $C$13, 100%, $E$13)</f>
        <v>25.6066</v>
      </c>
      <c r="J1027" s="61">
        <f>18.7098 * CHOOSE(CONTROL!$C$19, $C$13, 100%, $E$13)</f>
        <v>18.709800000000001</v>
      </c>
      <c r="K1027" s="61">
        <f>18.7099 * CHOOSE(CONTROL!$C$19, $C$13, 100%, $E$13)</f>
        <v>18.709900000000001</v>
      </c>
    </row>
    <row r="1028" spans="1:11" ht="15">
      <c r="A1028" s="13">
        <v>73141</v>
      </c>
      <c r="B1028" s="60">
        <f>15.4152 * CHOOSE(CONTROL!$C$19, $C$13, 100%, $E$13)</f>
        <v>15.4152</v>
      </c>
      <c r="C1028" s="60">
        <f>15.4152 * CHOOSE(CONTROL!$C$19, $C$13, 100%, $E$13)</f>
        <v>15.4152</v>
      </c>
      <c r="D1028" s="60">
        <f>15.4303 * CHOOSE(CONTROL!$C$19, $C$13, 100%, $E$13)</f>
        <v>15.430300000000001</v>
      </c>
      <c r="E1028" s="61">
        <f>18.972 * CHOOSE(CONTROL!$C$19, $C$13, 100%, $E$13)</f>
        <v>18.972000000000001</v>
      </c>
      <c r="F1028" s="61">
        <f>18.972 * CHOOSE(CONTROL!$C$19, $C$13, 100%, $E$13)</f>
        <v>18.972000000000001</v>
      </c>
      <c r="G1028" s="61">
        <f>18.9722 * CHOOSE(CONTROL!$C$19, $C$13, 100%, $E$13)</f>
        <v>18.972200000000001</v>
      </c>
      <c r="H1028" s="61">
        <f>25.6598* CHOOSE(CONTROL!$C$19, $C$13, 100%, $E$13)</f>
        <v>25.659800000000001</v>
      </c>
      <c r="I1028" s="61">
        <f>25.6599 * CHOOSE(CONTROL!$C$19, $C$13, 100%, $E$13)</f>
        <v>25.6599</v>
      </c>
      <c r="J1028" s="61">
        <f>18.972 * CHOOSE(CONTROL!$C$19, $C$13, 100%, $E$13)</f>
        <v>18.972000000000001</v>
      </c>
      <c r="K1028" s="61">
        <f>18.9722 * CHOOSE(CONTROL!$C$19, $C$13, 100%, $E$13)</f>
        <v>18.972200000000001</v>
      </c>
    </row>
    <row r="1029" spans="1:11" ht="15">
      <c r="A1029" s="13">
        <v>73171</v>
      </c>
      <c r="B1029" s="60">
        <f>15.4152 * CHOOSE(CONTROL!$C$19, $C$13, 100%, $E$13)</f>
        <v>15.4152</v>
      </c>
      <c r="C1029" s="60">
        <f>15.4152 * CHOOSE(CONTROL!$C$19, $C$13, 100%, $E$13)</f>
        <v>15.4152</v>
      </c>
      <c r="D1029" s="60">
        <f>15.4455 * CHOOSE(CONTROL!$C$19, $C$13, 100%, $E$13)</f>
        <v>15.445499999999999</v>
      </c>
      <c r="E1029" s="61">
        <f>19.0719 * CHOOSE(CONTROL!$C$19, $C$13, 100%, $E$13)</f>
        <v>19.071899999999999</v>
      </c>
      <c r="F1029" s="61">
        <f>19.0719 * CHOOSE(CONTROL!$C$19, $C$13, 100%, $E$13)</f>
        <v>19.071899999999999</v>
      </c>
      <c r="G1029" s="61">
        <f>19.0738 * CHOOSE(CONTROL!$C$19, $C$13, 100%, $E$13)</f>
        <v>19.073799999999999</v>
      </c>
      <c r="H1029" s="61">
        <f>25.7132* CHOOSE(CONTROL!$C$19, $C$13, 100%, $E$13)</f>
        <v>25.713200000000001</v>
      </c>
      <c r="I1029" s="61">
        <f>25.7151 * CHOOSE(CONTROL!$C$19, $C$13, 100%, $E$13)</f>
        <v>25.7151</v>
      </c>
      <c r="J1029" s="61">
        <f>19.0719 * CHOOSE(CONTROL!$C$19, $C$13, 100%, $E$13)</f>
        <v>19.071899999999999</v>
      </c>
      <c r="K1029" s="61">
        <f>19.0738 * CHOOSE(CONTROL!$C$19, $C$13, 100%, $E$13)</f>
        <v>19.073799999999999</v>
      </c>
    </row>
    <row r="1030" spans="1:11" ht="15">
      <c r="A1030" s="13">
        <v>73202</v>
      </c>
      <c r="B1030" s="60">
        <f>15.4212 * CHOOSE(CONTROL!$C$19, $C$13, 100%, $E$13)</f>
        <v>15.421200000000001</v>
      </c>
      <c r="C1030" s="60">
        <f>15.4212 * CHOOSE(CONTROL!$C$19, $C$13, 100%, $E$13)</f>
        <v>15.421200000000001</v>
      </c>
      <c r="D1030" s="60">
        <f>15.4516 * CHOOSE(CONTROL!$C$19, $C$13, 100%, $E$13)</f>
        <v>15.451599999999999</v>
      </c>
      <c r="E1030" s="61">
        <f>18.9762 * CHOOSE(CONTROL!$C$19, $C$13, 100%, $E$13)</f>
        <v>18.976199999999999</v>
      </c>
      <c r="F1030" s="61">
        <f>18.9762 * CHOOSE(CONTROL!$C$19, $C$13, 100%, $E$13)</f>
        <v>18.976199999999999</v>
      </c>
      <c r="G1030" s="61">
        <f>18.9781 * CHOOSE(CONTROL!$C$19, $C$13, 100%, $E$13)</f>
        <v>18.978100000000001</v>
      </c>
      <c r="H1030" s="61">
        <f>25.7668* CHOOSE(CONTROL!$C$19, $C$13, 100%, $E$13)</f>
        <v>25.7668</v>
      </c>
      <c r="I1030" s="61">
        <f>25.7687 * CHOOSE(CONTROL!$C$19, $C$13, 100%, $E$13)</f>
        <v>25.768699999999999</v>
      </c>
      <c r="J1030" s="61">
        <f>18.9762 * CHOOSE(CONTROL!$C$19, $C$13, 100%, $E$13)</f>
        <v>18.976199999999999</v>
      </c>
      <c r="K1030" s="61">
        <f>18.9781 * CHOOSE(CONTROL!$C$19, $C$13, 100%, $E$13)</f>
        <v>18.978100000000001</v>
      </c>
    </row>
    <row r="1031" spans="1:11" ht="15">
      <c r="A1031" s="13">
        <v>73232</v>
      </c>
      <c r="B1031" s="60">
        <f>15.6319 * CHOOSE(CONTROL!$C$19, $C$13, 100%, $E$13)</f>
        <v>15.6319</v>
      </c>
      <c r="C1031" s="60">
        <f>15.6319 * CHOOSE(CONTROL!$C$19, $C$13, 100%, $E$13)</f>
        <v>15.6319</v>
      </c>
      <c r="D1031" s="60">
        <f>15.6623 * CHOOSE(CONTROL!$C$19, $C$13, 100%, $E$13)</f>
        <v>15.6623</v>
      </c>
      <c r="E1031" s="61">
        <f>19.3177 * CHOOSE(CONTROL!$C$19, $C$13, 100%, $E$13)</f>
        <v>19.317699999999999</v>
      </c>
      <c r="F1031" s="61">
        <f>19.3177 * CHOOSE(CONTROL!$C$19, $C$13, 100%, $E$13)</f>
        <v>19.317699999999999</v>
      </c>
      <c r="G1031" s="61">
        <f>19.3196 * CHOOSE(CONTROL!$C$19, $C$13, 100%, $E$13)</f>
        <v>19.319600000000001</v>
      </c>
      <c r="H1031" s="61">
        <f>25.8205* CHOOSE(CONTROL!$C$19, $C$13, 100%, $E$13)</f>
        <v>25.820499999999999</v>
      </c>
      <c r="I1031" s="61">
        <f>25.8224 * CHOOSE(CONTROL!$C$19, $C$13, 100%, $E$13)</f>
        <v>25.822399999999998</v>
      </c>
      <c r="J1031" s="61">
        <f>19.3177 * CHOOSE(CONTROL!$C$19, $C$13, 100%, $E$13)</f>
        <v>19.317699999999999</v>
      </c>
      <c r="K1031" s="61">
        <f>19.3196 * CHOOSE(CONTROL!$C$19, $C$13, 100%, $E$13)</f>
        <v>19.319600000000001</v>
      </c>
    </row>
    <row r="1032" spans="1:11" ht="15">
      <c r="A1032" s="13">
        <v>73263</v>
      </c>
      <c r="B1032" s="60">
        <f>15.6386 * CHOOSE(CONTROL!$C$19, $C$13, 100%, $E$13)</f>
        <v>15.6386</v>
      </c>
      <c r="C1032" s="60">
        <f>15.6386 * CHOOSE(CONTROL!$C$19, $C$13, 100%, $E$13)</f>
        <v>15.6386</v>
      </c>
      <c r="D1032" s="60">
        <f>15.669 * CHOOSE(CONTROL!$C$19, $C$13, 100%, $E$13)</f>
        <v>15.669</v>
      </c>
      <c r="E1032" s="61">
        <f>19.0226 * CHOOSE(CONTROL!$C$19, $C$13, 100%, $E$13)</f>
        <v>19.022600000000001</v>
      </c>
      <c r="F1032" s="61">
        <f>19.0226 * CHOOSE(CONTROL!$C$19, $C$13, 100%, $E$13)</f>
        <v>19.022600000000001</v>
      </c>
      <c r="G1032" s="61">
        <f>19.0245 * CHOOSE(CONTROL!$C$19, $C$13, 100%, $E$13)</f>
        <v>19.0245</v>
      </c>
      <c r="H1032" s="61">
        <f>25.8743* CHOOSE(CONTROL!$C$19, $C$13, 100%, $E$13)</f>
        <v>25.874300000000002</v>
      </c>
      <c r="I1032" s="61">
        <f>25.8762 * CHOOSE(CONTROL!$C$19, $C$13, 100%, $E$13)</f>
        <v>25.876200000000001</v>
      </c>
      <c r="J1032" s="61">
        <f>19.0226 * CHOOSE(CONTROL!$C$19, $C$13, 100%, $E$13)</f>
        <v>19.022600000000001</v>
      </c>
      <c r="K1032" s="61">
        <f>19.0245 * CHOOSE(CONTROL!$C$19, $C$13, 100%, $E$13)</f>
        <v>19.0245</v>
      </c>
    </row>
    <row r="1033" spans="1:11" ht="15">
      <c r="A1033" s="13">
        <v>73294</v>
      </c>
      <c r="B1033" s="60">
        <f>15.6356 * CHOOSE(CONTROL!$C$19, $C$13, 100%, $E$13)</f>
        <v>15.6356</v>
      </c>
      <c r="C1033" s="60">
        <f>15.6356 * CHOOSE(CONTROL!$C$19, $C$13, 100%, $E$13)</f>
        <v>15.6356</v>
      </c>
      <c r="D1033" s="60">
        <f>15.6659 * CHOOSE(CONTROL!$C$19, $C$13, 100%, $E$13)</f>
        <v>15.665900000000001</v>
      </c>
      <c r="E1033" s="61">
        <f>18.9871 * CHOOSE(CONTROL!$C$19, $C$13, 100%, $E$13)</f>
        <v>18.987100000000002</v>
      </c>
      <c r="F1033" s="61">
        <f>18.9871 * CHOOSE(CONTROL!$C$19, $C$13, 100%, $E$13)</f>
        <v>18.987100000000002</v>
      </c>
      <c r="G1033" s="61">
        <f>18.989 * CHOOSE(CONTROL!$C$19, $C$13, 100%, $E$13)</f>
        <v>18.989000000000001</v>
      </c>
      <c r="H1033" s="61">
        <f>25.9282* CHOOSE(CONTROL!$C$19, $C$13, 100%, $E$13)</f>
        <v>25.9282</v>
      </c>
      <c r="I1033" s="61">
        <f>25.9301 * CHOOSE(CONTROL!$C$19, $C$13, 100%, $E$13)</f>
        <v>25.930099999999999</v>
      </c>
      <c r="J1033" s="61">
        <f>18.9871 * CHOOSE(CONTROL!$C$19, $C$13, 100%, $E$13)</f>
        <v>18.987100000000002</v>
      </c>
      <c r="K1033" s="61">
        <f>18.989 * CHOOSE(CONTROL!$C$19, $C$13, 100%, $E$13)</f>
        <v>18.989000000000001</v>
      </c>
    </row>
    <row r="1034" spans="1:11" ht="15">
      <c r="A1034" s="13">
        <v>73324</v>
      </c>
      <c r="B1034" s="60">
        <f>15.6748 * CHOOSE(CONTROL!$C$19, $C$13, 100%, $E$13)</f>
        <v>15.674799999999999</v>
      </c>
      <c r="C1034" s="60">
        <f>15.6748 * CHOOSE(CONTROL!$C$19, $C$13, 100%, $E$13)</f>
        <v>15.674799999999999</v>
      </c>
      <c r="D1034" s="60">
        <f>15.69 * CHOOSE(CONTROL!$C$19, $C$13, 100%, $E$13)</f>
        <v>15.69</v>
      </c>
      <c r="E1034" s="61">
        <f>19.107 * CHOOSE(CONTROL!$C$19, $C$13, 100%, $E$13)</f>
        <v>19.106999999999999</v>
      </c>
      <c r="F1034" s="61">
        <f>19.107 * CHOOSE(CONTROL!$C$19, $C$13, 100%, $E$13)</f>
        <v>19.106999999999999</v>
      </c>
      <c r="G1034" s="61">
        <f>19.1071 * CHOOSE(CONTROL!$C$19, $C$13, 100%, $E$13)</f>
        <v>19.107099999999999</v>
      </c>
      <c r="H1034" s="61">
        <f>25.9822* CHOOSE(CONTROL!$C$19, $C$13, 100%, $E$13)</f>
        <v>25.982199999999999</v>
      </c>
      <c r="I1034" s="61">
        <f>25.9824 * CHOOSE(CONTROL!$C$19, $C$13, 100%, $E$13)</f>
        <v>25.982399999999998</v>
      </c>
      <c r="J1034" s="61">
        <f>19.107 * CHOOSE(CONTROL!$C$19, $C$13, 100%, $E$13)</f>
        <v>19.106999999999999</v>
      </c>
      <c r="K1034" s="61">
        <f>19.1071 * CHOOSE(CONTROL!$C$19, $C$13, 100%, $E$13)</f>
        <v>19.107099999999999</v>
      </c>
    </row>
    <row r="1035" spans="1:11" ht="15">
      <c r="A1035" s="13">
        <v>73355</v>
      </c>
      <c r="B1035" s="60">
        <f>15.6778 * CHOOSE(CONTROL!$C$19, $C$13, 100%, $E$13)</f>
        <v>15.6778</v>
      </c>
      <c r="C1035" s="60">
        <f>15.6778 * CHOOSE(CONTROL!$C$19, $C$13, 100%, $E$13)</f>
        <v>15.6778</v>
      </c>
      <c r="D1035" s="60">
        <f>15.693 * CHOOSE(CONTROL!$C$19, $C$13, 100%, $E$13)</f>
        <v>15.693</v>
      </c>
      <c r="E1035" s="61">
        <f>19.1757 * CHOOSE(CONTROL!$C$19, $C$13, 100%, $E$13)</f>
        <v>19.175699999999999</v>
      </c>
      <c r="F1035" s="61">
        <f>19.1757 * CHOOSE(CONTROL!$C$19, $C$13, 100%, $E$13)</f>
        <v>19.175699999999999</v>
      </c>
      <c r="G1035" s="61">
        <f>19.1759 * CHOOSE(CONTROL!$C$19, $C$13, 100%, $E$13)</f>
        <v>19.175899999999999</v>
      </c>
      <c r="H1035" s="61">
        <f>26.0363* CHOOSE(CONTROL!$C$19, $C$13, 100%, $E$13)</f>
        <v>26.036300000000001</v>
      </c>
      <c r="I1035" s="61">
        <f>26.0365 * CHOOSE(CONTROL!$C$19, $C$13, 100%, $E$13)</f>
        <v>26.0365</v>
      </c>
      <c r="J1035" s="61">
        <f>19.1757 * CHOOSE(CONTROL!$C$19, $C$13, 100%, $E$13)</f>
        <v>19.175699999999999</v>
      </c>
      <c r="K1035" s="61">
        <f>19.1759 * CHOOSE(CONTROL!$C$19, $C$13, 100%, $E$13)</f>
        <v>19.175899999999999</v>
      </c>
    </row>
    <row r="1036" spans="1:11" ht="15">
      <c r="A1036" s="13">
        <v>73385</v>
      </c>
      <c r="B1036" s="60">
        <f>15.6778 * CHOOSE(CONTROL!$C$19, $C$13, 100%, $E$13)</f>
        <v>15.6778</v>
      </c>
      <c r="C1036" s="60">
        <f>15.6778 * CHOOSE(CONTROL!$C$19, $C$13, 100%, $E$13)</f>
        <v>15.6778</v>
      </c>
      <c r="D1036" s="60">
        <f>15.693 * CHOOSE(CONTROL!$C$19, $C$13, 100%, $E$13)</f>
        <v>15.693</v>
      </c>
      <c r="E1036" s="61">
        <f>19.0091 * CHOOSE(CONTROL!$C$19, $C$13, 100%, $E$13)</f>
        <v>19.0091</v>
      </c>
      <c r="F1036" s="61">
        <f>19.0091 * CHOOSE(CONTROL!$C$19, $C$13, 100%, $E$13)</f>
        <v>19.0091</v>
      </c>
      <c r="G1036" s="61">
        <f>19.0093 * CHOOSE(CONTROL!$C$19, $C$13, 100%, $E$13)</f>
        <v>19.0093</v>
      </c>
      <c r="H1036" s="61">
        <f>26.0906* CHOOSE(CONTROL!$C$19, $C$13, 100%, $E$13)</f>
        <v>26.090599999999998</v>
      </c>
      <c r="I1036" s="61">
        <f>26.0907 * CHOOSE(CONTROL!$C$19, $C$13, 100%, $E$13)</f>
        <v>26.090699999999998</v>
      </c>
      <c r="J1036" s="61">
        <f>19.0091 * CHOOSE(CONTROL!$C$19, $C$13, 100%, $E$13)</f>
        <v>19.0091</v>
      </c>
      <c r="K1036" s="61">
        <f>19.0093 * CHOOSE(CONTROL!$C$19, $C$13, 100%, $E$13)</f>
        <v>19.0093</v>
      </c>
    </row>
    <row r="1037" spans="1:11" ht="15">
      <c r="A1037" s="10"/>
      <c r="B1037" s="60"/>
      <c r="C1037" s="60"/>
      <c r="D1037" s="60"/>
      <c r="E1037" s="61"/>
      <c r="F1037" s="61"/>
      <c r="G1037" s="61"/>
      <c r="H1037" s="61"/>
      <c r="I1037" s="61"/>
      <c r="J1037" s="61"/>
      <c r="K1037" s="61"/>
    </row>
    <row r="1038" spans="1:11" ht="15">
      <c r="A1038" s="3">
        <v>2016</v>
      </c>
      <c r="B1038" s="60">
        <f t="shared" ref="B1038:K1038" si="0">AVERAGE(B17:B28)</f>
        <v>2.3326333333333338</v>
      </c>
      <c r="C1038" s="60">
        <f t="shared" si="0"/>
        <v>2.3326333333333338</v>
      </c>
      <c r="D1038" s="60">
        <f t="shared" si="0"/>
        <v>2.3541250000000011</v>
      </c>
      <c r="E1038" s="60">
        <f t="shared" si="0"/>
        <v>3.0010749999999997</v>
      </c>
      <c r="F1038" s="60">
        <f t="shared" si="0"/>
        <v>2.0505</v>
      </c>
      <c r="G1038" s="60">
        <f t="shared" si="0"/>
        <v>2.0514083333333333</v>
      </c>
      <c r="H1038" s="60">
        <f t="shared" si="0"/>
        <v>4.4683083333333338</v>
      </c>
      <c r="I1038" s="60">
        <f t="shared" si="0"/>
        <v>4.4691999999999998</v>
      </c>
      <c r="J1038" s="60">
        <f t="shared" si="0"/>
        <v>3.0010749999999997</v>
      </c>
      <c r="K1038" s="60">
        <f t="shared" si="0"/>
        <v>3.0019749999999998</v>
      </c>
    </row>
    <row r="1039" spans="1:11" ht="15">
      <c r="A1039" s="3">
        <v>2017</v>
      </c>
      <c r="B1039" s="60">
        <f t="shared" ref="B1039:K1039" si="1">AVERAGE(B29:B40)</f>
        <v>2.2862499999999994</v>
      </c>
      <c r="C1039" s="60">
        <f t="shared" si="1"/>
        <v>2.2862499999999994</v>
      </c>
      <c r="D1039" s="60">
        <f t="shared" si="1"/>
        <v>2.3077333333333327</v>
      </c>
      <c r="E1039" s="60">
        <f t="shared" si="1"/>
        <v>3.4390666666666667</v>
      </c>
      <c r="F1039" s="60">
        <f t="shared" si="1"/>
        <v>2.0505</v>
      </c>
      <c r="G1039" s="60">
        <f t="shared" si="1"/>
        <v>2.0514083333333333</v>
      </c>
      <c r="H1039" s="60">
        <f t="shared" si="1"/>
        <v>4.3277583333333327</v>
      </c>
      <c r="I1039" s="60">
        <f t="shared" si="1"/>
        <v>4.3286583333333324</v>
      </c>
      <c r="J1039" s="60">
        <f t="shared" si="1"/>
        <v>3.4390666666666667</v>
      </c>
      <c r="K1039" s="60">
        <f t="shared" si="1"/>
        <v>3.4399750000000004</v>
      </c>
    </row>
    <row r="1040" spans="1:11" ht="15">
      <c r="A1040" s="3">
        <v>2018</v>
      </c>
      <c r="B1040" s="60">
        <f t="shared" ref="B1040:K1040" si="2">AVERAGE(B41:B52)</f>
        <v>2.3824083333333332</v>
      </c>
      <c r="C1040" s="60">
        <f t="shared" si="2"/>
        <v>2.3824083333333332</v>
      </c>
      <c r="D1040" s="60">
        <f t="shared" si="2"/>
        <v>2.4039166666666669</v>
      </c>
      <c r="E1040" s="60">
        <f t="shared" si="2"/>
        <v>2.4131499999999995</v>
      </c>
      <c r="F1040" s="60">
        <f t="shared" si="2"/>
        <v>2.4131499999999995</v>
      </c>
      <c r="G1040" s="60">
        <f t="shared" si="2"/>
        <v>2.4140249999999996</v>
      </c>
      <c r="H1040" s="60">
        <f t="shared" si="2"/>
        <v>4.4372083333333334</v>
      </c>
      <c r="I1040" s="60">
        <f t="shared" si="2"/>
        <v>4.4381000000000004</v>
      </c>
      <c r="J1040" s="60">
        <f t="shared" si="2"/>
        <v>2.4131499999999995</v>
      </c>
      <c r="K1040" s="60">
        <f t="shared" si="2"/>
        <v>2.4140249999999996</v>
      </c>
    </row>
    <row r="1041" spans="1:11" ht="15">
      <c r="A1041" s="3">
        <v>2019</v>
      </c>
      <c r="B1041" s="60">
        <f t="shared" ref="B1041:K1041" si="3">AVERAGE(B53:B64)</f>
        <v>2.4799249999999997</v>
      </c>
      <c r="C1041" s="60">
        <f t="shared" si="3"/>
        <v>2.4799249999999997</v>
      </c>
      <c r="D1041" s="60">
        <f t="shared" si="3"/>
        <v>2.5014499999999997</v>
      </c>
      <c r="E1041" s="60">
        <f t="shared" si="3"/>
        <v>2.5851166666666665</v>
      </c>
      <c r="F1041" s="60">
        <f t="shared" si="3"/>
        <v>2.5851166666666665</v>
      </c>
      <c r="G1041" s="60">
        <f t="shared" si="3"/>
        <v>2.5859999999999999</v>
      </c>
      <c r="H1041" s="60">
        <f t="shared" si="3"/>
        <v>4.5494083333333339</v>
      </c>
      <c r="I1041" s="60">
        <f t="shared" si="3"/>
        <v>4.5503083333333327</v>
      </c>
      <c r="J1041" s="60">
        <f t="shared" si="3"/>
        <v>2.5851166666666665</v>
      </c>
      <c r="K1041" s="60">
        <f t="shared" si="3"/>
        <v>2.5859999999999999</v>
      </c>
    </row>
    <row r="1042" spans="1:11" ht="15">
      <c r="A1042" s="3">
        <v>2020</v>
      </c>
      <c r="B1042" s="60">
        <f t="shared" ref="B1042:K1042" si="4">AVERAGE(B65:B76)</f>
        <v>2.7314916666666664</v>
      </c>
      <c r="C1042" s="60">
        <f t="shared" si="4"/>
        <v>2.7314916666666664</v>
      </c>
      <c r="D1042" s="60">
        <f t="shared" si="4"/>
        <v>2.7530083333333333</v>
      </c>
      <c r="E1042" s="60">
        <f t="shared" si="4"/>
        <v>2.7418416666666663</v>
      </c>
      <c r="F1042" s="60">
        <f t="shared" si="4"/>
        <v>2.7418416666666663</v>
      </c>
      <c r="G1042" s="60">
        <f t="shared" si="4"/>
        <v>2.7427416666666669</v>
      </c>
      <c r="H1042" s="60">
        <f t="shared" si="4"/>
        <v>4.6644499999999995</v>
      </c>
      <c r="I1042" s="60">
        <f t="shared" si="4"/>
        <v>4.6653499999999992</v>
      </c>
      <c r="J1042" s="60">
        <f t="shared" si="4"/>
        <v>2.7418416666666663</v>
      </c>
      <c r="K1042" s="60">
        <f t="shared" si="4"/>
        <v>2.7427416666666669</v>
      </c>
    </row>
    <row r="1043" spans="1:11" ht="15">
      <c r="A1043" s="3">
        <v>2021</v>
      </c>
      <c r="B1043" s="60">
        <f t="shared" ref="B1043:K1043" si="5">AVERAGE(B77:B88)</f>
        <v>2.8390749999999998</v>
      </c>
      <c r="C1043" s="60">
        <f t="shared" si="5"/>
        <v>2.8390749999999998</v>
      </c>
      <c r="D1043" s="60">
        <f t="shared" si="5"/>
        <v>2.8605666666666667</v>
      </c>
      <c r="E1043" s="60">
        <f t="shared" si="5"/>
        <v>2.8837499999999996</v>
      </c>
      <c r="F1043" s="60">
        <f t="shared" si="5"/>
        <v>2.8837499999999996</v>
      </c>
      <c r="G1043" s="60">
        <f t="shared" si="5"/>
        <v>2.8846500000000002</v>
      </c>
      <c r="H1043" s="60">
        <f t="shared" si="5"/>
        <v>4.7824166666666672</v>
      </c>
      <c r="I1043" s="60">
        <f t="shared" si="5"/>
        <v>4.7832999999999997</v>
      </c>
      <c r="J1043" s="60">
        <f t="shared" si="5"/>
        <v>2.8837499999999996</v>
      </c>
      <c r="K1043" s="60">
        <f t="shared" si="5"/>
        <v>2.8846500000000002</v>
      </c>
    </row>
    <row r="1044" spans="1:11" ht="15">
      <c r="A1044" s="3">
        <v>2022</v>
      </c>
      <c r="B1044" s="60">
        <f t="shared" ref="B1044:K1044" si="6">AVERAGE(B89:B100)</f>
        <v>2.9780166666666665</v>
      </c>
      <c r="C1044" s="60">
        <f t="shared" si="6"/>
        <v>2.9780166666666665</v>
      </c>
      <c r="D1044" s="60">
        <f t="shared" si="6"/>
        <v>2.9995249999999998</v>
      </c>
      <c r="E1044" s="60">
        <f t="shared" si="6"/>
        <v>3.0113999999999987</v>
      </c>
      <c r="F1044" s="60">
        <f t="shared" si="6"/>
        <v>3.0113999999999987</v>
      </c>
      <c r="G1044" s="60">
        <f t="shared" si="6"/>
        <v>3.0122833333333339</v>
      </c>
      <c r="H1044" s="60">
        <f t="shared" si="6"/>
        <v>4.9033499999999997</v>
      </c>
      <c r="I1044" s="60">
        <f t="shared" si="6"/>
        <v>4.904233333333333</v>
      </c>
      <c r="J1044" s="60">
        <f t="shared" si="6"/>
        <v>3.0113999999999987</v>
      </c>
      <c r="K1044" s="60">
        <f t="shared" si="6"/>
        <v>3.0122833333333339</v>
      </c>
    </row>
    <row r="1045" spans="1:11" ht="15">
      <c r="A1045" s="3">
        <v>2023</v>
      </c>
      <c r="B1045" s="60">
        <f t="shared" ref="B1045:K1045" si="7">AVERAGE(B101:B112)</f>
        <v>3.0768416666666667</v>
      </c>
      <c r="C1045" s="60">
        <f t="shared" si="7"/>
        <v>3.0768416666666667</v>
      </c>
      <c r="D1045" s="60">
        <f t="shared" si="7"/>
        <v>3.0983416666666668</v>
      </c>
      <c r="E1045" s="60">
        <f t="shared" si="7"/>
        <v>3.1658749999999998</v>
      </c>
      <c r="F1045" s="60">
        <f t="shared" si="7"/>
        <v>3.1658749999999998</v>
      </c>
      <c r="G1045" s="60">
        <f t="shared" si="7"/>
        <v>3.1667833333333331</v>
      </c>
      <c r="H1045" s="60">
        <f t="shared" si="7"/>
        <v>5.0273500000000002</v>
      </c>
      <c r="I1045" s="60">
        <f t="shared" si="7"/>
        <v>5.0282416666666672</v>
      </c>
      <c r="J1045" s="60">
        <f t="shared" si="7"/>
        <v>3.1658749999999998</v>
      </c>
      <c r="K1045" s="60">
        <f t="shared" si="7"/>
        <v>3.1667833333333331</v>
      </c>
    </row>
    <row r="1046" spans="1:11" ht="15">
      <c r="A1046" s="3">
        <v>2024</v>
      </c>
      <c r="B1046" s="60">
        <f t="shared" ref="B1046:K1046" si="8">AVERAGE(B113:B124)</f>
        <v>3.1546750000000006</v>
      </c>
      <c r="C1046" s="60">
        <f t="shared" si="8"/>
        <v>3.1546750000000006</v>
      </c>
      <c r="D1046" s="60">
        <f t="shared" si="8"/>
        <v>3.1761750000000002</v>
      </c>
      <c r="E1046" s="60">
        <f t="shared" si="8"/>
        <v>3.2875416666666664</v>
      </c>
      <c r="F1046" s="60">
        <f t="shared" si="8"/>
        <v>3.2875416666666664</v>
      </c>
      <c r="G1046" s="60">
        <f t="shared" si="8"/>
        <v>3.2884083333333334</v>
      </c>
      <c r="H1046" s="60">
        <f t="shared" si="8"/>
        <v>5.1544750000000006</v>
      </c>
      <c r="I1046" s="60">
        <f t="shared" si="8"/>
        <v>5.1553833333333339</v>
      </c>
      <c r="J1046" s="60">
        <f t="shared" si="8"/>
        <v>3.2875416666666664</v>
      </c>
      <c r="K1046" s="60">
        <f t="shared" si="8"/>
        <v>3.2884083333333334</v>
      </c>
    </row>
    <row r="1047" spans="1:11" ht="15">
      <c r="A1047" s="3">
        <v>2025</v>
      </c>
      <c r="B1047" s="60">
        <f t="shared" ref="B1047:K1047" si="9">AVERAGE(B125:B136)</f>
        <v>3.2306000000000004</v>
      </c>
      <c r="C1047" s="60">
        <f t="shared" si="9"/>
        <v>3.2306000000000004</v>
      </c>
      <c r="D1047" s="60">
        <f t="shared" si="9"/>
        <v>3.2520916666666673</v>
      </c>
      <c r="E1047" s="60">
        <f t="shared" si="9"/>
        <v>3.4095249999999999</v>
      </c>
      <c r="F1047" s="60">
        <f t="shared" si="9"/>
        <v>3.4095249999999999</v>
      </c>
      <c r="G1047" s="60">
        <f t="shared" si="9"/>
        <v>3.4104249999999996</v>
      </c>
      <c r="H1047" s="60">
        <f t="shared" si="9"/>
        <v>5.2848250000000005</v>
      </c>
      <c r="I1047" s="60">
        <f t="shared" si="9"/>
        <v>5.2857166666666666</v>
      </c>
      <c r="J1047" s="60">
        <f t="shared" si="9"/>
        <v>3.4095249999999999</v>
      </c>
      <c r="K1047" s="60">
        <f t="shared" si="9"/>
        <v>3.4104249999999996</v>
      </c>
    </row>
    <row r="1048" spans="1:11" ht="15">
      <c r="A1048" s="3">
        <v>2026</v>
      </c>
      <c r="B1048" s="60">
        <f t="shared" ref="B1048:K1048" si="10">AVERAGE(B137:B148)</f>
        <v>3.3089750000000002</v>
      </c>
      <c r="C1048" s="60">
        <f t="shared" si="10"/>
        <v>3.3089750000000002</v>
      </c>
      <c r="D1048" s="60">
        <f t="shared" si="10"/>
        <v>3.3305000000000002</v>
      </c>
      <c r="E1048" s="60">
        <f t="shared" si="10"/>
        <v>3.5205666666666668</v>
      </c>
      <c r="F1048" s="60">
        <f t="shared" si="10"/>
        <v>3.5205666666666668</v>
      </c>
      <c r="G1048" s="60">
        <f t="shared" si="10"/>
        <v>3.5214583333333334</v>
      </c>
      <c r="H1048" s="60">
        <f t="shared" si="10"/>
        <v>5.4184833333333335</v>
      </c>
      <c r="I1048" s="60">
        <f t="shared" si="10"/>
        <v>5.4193749999999996</v>
      </c>
      <c r="J1048" s="60">
        <f t="shared" si="10"/>
        <v>3.5205666666666668</v>
      </c>
      <c r="K1048" s="60">
        <f t="shared" si="10"/>
        <v>3.5214583333333334</v>
      </c>
    </row>
    <row r="1049" spans="1:11" ht="15">
      <c r="A1049" s="3">
        <v>2027</v>
      </c>
      <c r="B1049" s="60">
        <f t="shared" ref="B1049:K1049" si="11">AVERAGE(B149:B160)</f>
        <v>3.3874416666666671</v>
      </c>
      <c r="C1049" s="60">
        <f t="shared" si="11"/>
        <v>3.3874416666666671</v>
      </c>
      <c r="D1049" s="60">
        <f t="shared" si="11"/>
        <v>3.4089416666666668</v>
      </c>
      <c r="E1049" s="60">
        <f t="shared" si="11"/>
        <v>3.6206999999999998</v>
      </c>
      <c r="F1049" s="60">
        <f t="shared" si="11"/>
        <v>3.6206999999999998</v>
      </c>
      <c r="G1049" s="60">
        <f t="shared" si="11"/>
        <v>3.6216000000000004</v>
      </c>
      <c r="H1049" s="60">
        <f t="shared" si="11"/>
        <v>5.555483333333334</v>
      </c>
      <c r="I1049" s="60">
        <f t="shared" si="11"/>
        <v>5.5563916666666664</v>
      </c>
      <c r="J1049" s="60">
        <f t="shared" si="11"/>
        <v>3.6206999999999998</v>
      </c>
      <c r="K1049" s="60">
        <f t="shared" si="11"/>
        <v>3.6216000000000004</v>
      </c>
    </row>
    <row r="1050" spans="1:11" ht="15">
      <c r="A1050" s="3">
        <v>2028</v>
      </c>
      <c r="B1050" s="60">
        <f t="shared" ref="B1050:K1050" si="12">AVERAGE(B161:B172)</f>
        <v>3.4717833333333332</v>
      </c>
      <c r="C1050" s="60">
        <f t="shared" si="12"/>
        <v>3.4717833333333332</v>
      </c>
      <c r="D1050" s="60">
        <f t="shared" si="12"/>
        <v>3.4932750000000006</v>
      </c>
      <c r="E1050" s="60">
        <f t="shared" si="12"/>
        <v>3.6455333333333333</v>
      </c>
      <c r="F1050" s="60">
        <f t="shared" si="12"/>
        <v>3.6455333333333333</v>
      </c>
      <c r="G1050" s="60">
        <f t="shared" si="12"/>
        <v>3.6464166666666666</v>
      </c>
      <c r="H1050" s="60">
        <f t="shared" si="12"/>
        <v>5.6960000000000006</v>
      </c>
      <c r="I1050" s="60">
        <f t="shared" si="12"/>
        <v>5.6969000000000003</v>
      </c>
      <c r="J1050" s="60">
        <f t="shared" si="12"/>
        <v>3.6455333333333333</v>
      </c>
      <c r="K1050" s="60">
        <f t="shared" si="12"/>
        <v>3.6464166666666666</v>
      </c>
    </row>
    <row r="1051" spans="1:11" ht="15">
      <c r="A1051" s="3">
        <v>2029</v>
      </c>
      <c r="B1051" s="60">
        <f t="shared" ref="B1051:K1051" si="13">AVERAGE(B173:B184)</f>
        <v>3.5597499999999997</v>
      </c>
      <c r="C1051" s="60">
        <f t="shared" si="13"/>
        <v>3.5597499999999997</v>
      </c>
      <c r="D1051" s="60">
        <f t="shared" si="13"/>
        <v>3.5812666666666666</v>
      </c>
      <c r="E1051" s="60">
        <f t="shared" si="13"/>
        <v>3.7360416666666669</v>
      </c>
      <c r="F1051" s="60">
        <f t="shared" si="13"/>
        <v>3.7360416666666669</v>
      </c>
      <c r="G1051" s="60">
        <f t="shared" si="13"/>
        <v>3.7369249999999994</v>
      </c>
      <c r="H1051" s="60">
        <f t="shared" si="13"/>
        <v>5.8400250000000007</v>
      </c>
      <c r="I1051" s="60">
        <f t="shared" si="13"/>
        <v>5.8409416666666667</v>
      </c>
      <c r="J1051" s="60">
        <f t="shared" si="13"/>
        <v>3.7360416666666669</v>
      </c>
      <c r="K1051" s="60">
        <f t="shared" si="13"/>
        <v>3.7369249999999994</v>
      </c>
    </row>
    <row r="1052" spans="1:11" ht="15">
      <c r="A1052" s="3">
        <v>2030</v>
      </c>
      <c r="B1052" s="60">
        <f t="shared" ref="B1052:K1052" si="14">AVERAGE(B185:B196)</f>
        <v>3.6564333333333328</v>
      </c>
      <c r="C1052" s="60">
        <f t="shared" si="14"/>
        <v>3.6564333333333328</v>
      </c>
      <c r="D1052" s="60">
        <f t="shared" si="14"/>
        <v>3.6779333333333337</v>
      </c>
      <c r="E1052" s="60">
        <f t="shared" si="14"/>
        <v>3.8432166666666667</v>
      </c>
      <c r="F1052" s="60">
        <f t="shared" si="14"/>
        <v>3.8432166666666667</v>
      </c>
      <c r="G1052" s="60">
        <f t="shared" si="14"/>
        <v>3.8440999999999996</v>
      </c>
      <c r="H1052" s="60">
        <f t="shared" si="14"/>
        <v>5.9877166666666666</v>
      </c>
      <c r="I1052" s="60">
        <f t="shared" si="14"/>
        <v>5.988616666666668</v>
      </c>
      <c r="J1052" s="60">
        <f t="shared" si="14"/>
        <v>3.8432166666666667</v>
      </c>
      <c r="K1052" s="60">
        <f t="shared" si="14"/>
        <v>3.8440999999999996</v>
      </c>
    </row>
    <row r="1053" spans="1:11" ht="15">
      <c r="A1053" s="3">
        <v>2031</v>
      </c>
      <c r="B1053" s="60">
        <f t="shared" ref="B1053:K1053" si="15">AVERAGE(B197:B208)</f>
        <v>3.7383999999999999</v>
      </c>
      <c r="C1053" s="60">
        <f t="shared" si="15"/>
        <v>3.7383999999999999</v>
      </c>
      <c r="D1053" s="60">
        <f t="shared" si="15"/>
        <v>3.7599083333333332</v>
      </c>
      <c r="E1053" s="60">
        <f t="shared" si="15"/>
        <v>3.9515583333333333</v>
      </c>
      <c r="F1053" s="60">
        <f t="shared" si="15"/>
        <v>3.9515583333333333</v>
      </c>
      <c r="G1053" s="60">
        <f t="shared" si="15"/>
        <v>3.9524416666666666</v>
      </c>
      <c r="H1053" s="60">
        <f t="shared" si="15"/>
        <v>6.1391416666666672</v>
      </c>
      <c r="I1053" s="60">
        <f t="shared" si="15"/>
        <v>6.1400333333333341</v>
      </c>
      <c r="J1053" s="60">
        <f t="shared" si="15"/>
        <v>3.9515583333333333</v>
      </c>
      <c r="K1053" s="60">
        <f t="shared" si="15"/>
        <v>3.9524416666666666</v>
      </c>
    </row>
    <row r="1054" spans="1:11" ht="15">
      <c r="A1054" s="3">
        <v>2032</v>
      </c>
      <c r="B1054" s="60">
        <f t="shared" ref="B1054:K1054" si="16">AVERAGE(B209:B220)</f>
        <v>3.8228833333333339</v>
      </c>
      <c r="C1054" s="60">
        <f t="shared" si="16"/>
        <v>3.8228833333333339</v>
      </c>
      <c r="D1054" s="60">
        <f t="shared" si="16"/>
        <v>3.8443916666666671</v>
      </c>
      <c r="E1054" s="60">
        <f t="shared" si="16"/>
        <v>4.0618500000000006</v>
      </c>
      <c r="F1054" s="60">
        <f t="shared" si="16"/>
        <v>4.0618500000000006</v>
      </c>
      <c r="G1054" s="60">
        <f t="shared" si="16"/>
        <v>4.0627499999999994</v>
      </c>
      <c r="H1054" s="60">
        <f t="shared" si="16"/>
        <v>6.2944000000000004</v>
      </c>
      <c r="I1054" s="60">
        <f t="shared" si="16"/>
        <v>6.2952833333333338</v>
      </c>
      <c r="J1054" s="60">
        <f t="shared" si="16"/>
        <v>4.0618500000000006</v>
      </c>
      <c r="K1054" s="60">
        <f t="shared" si="16"/>
        <v>4.0627499999999994</v>
      </c>
    </row>
    <row r="1055" spans="1:11" ht="15">
      <c r="A1055" s="3">
        <v>2033</v>
      </c>
      <c r="B1055" s="60">
        <f t="shared" ref="B1055:K1055" si="17">AVERAGE(B221:B232)</f>
        <v>3.9006083333333326</v>
      </c>
      <c r="C1055" s="60">
        <f t="shared" si="17"/>
        <v>3.9006083333333326</v>
      </c>
      <c r="D1055" s="60">
        <f t="shared" si="17"/>
        <v>3.9221249999999994</v>
      </c>
      <c r="E1055" s="60">
        <f t="shared" si="17"/>
        <v>4.1747916666666658</v>
      </c>
      <c r="F1055" s="60">
        <f t="shared" si="17"/>
        <v>4.1747916666666658</v>
      </c>
      <c r="G1055" s="60">
        <f t="shared" si="17"/>
        <v>4.1756916666666664</v>
      </c>
      <c r="H1055" s="60">
        <f t="shared" si="17"/>
        <v>6.4535749999999998</v>
      </c>
      <c r="I1055" s="60">
        <f t="shared" si="17"/>
        <v>6.4544666666666677</v>
      </c>
      <c r="J1055" s="60">
        <f t="shared" si="17"/>
        <v>4.1747916666666658</v>
      </c>
      <c r="K1055" s="60">
        <f t="shared" si="17"/>
        <v>4.1756916666666664</v>
      </c>
    </row>
    <row r="1056" spans="1:11" ht="15">
      <c r="A1056" s="3">
        <v>2034</v>
      </c>
      <c r="B1056" s="60">
        <f t="shared" ref="B1056:K1056" si="18">AVERAGE(B233:B244)</f>
        <v>3.9877083333333334</v>
      </c>
      <c r="C1056" s="60">
        <f t="shared" si="18"/>
        <v>3.9877083333333334</v>
      </c>
      <c r="D1056" s="60">
        <f t="shared" si="18"/>
        <v>4.0092166666666662</v>
      </c>
      <c r="E1056" s="60">
        <f t="shared" si="18"/>
        <v>4.2910750000000002</v>
      </c>
      <c r="F1056" s="60">
        <f t="shared" si="18"/>
        <v>4.2910750000000002</v>
      </c>
      <c r="G1056" s="60">
        <f t="shared" si="18"/>
        <v>4.2919666666666663</v>
      </c>
      <c r="H1056" s="60">
        <f t="shared" si="18"/>
        <v>6.6167833333333341</v>
      </c>
      <c r="I1056" s="60">
        <f t="shared" si="18"/>
        <v>6.6176583333333339</v>
      </c>
      <c r="J1056" s="60">
        <f t="shared" si="18"/>
        <v>4.2910750000000002</v>
      </c>
      <c r="K1056" s="60">
        <f t="shared" si="18"/>
        <v>4.2919666666666663</v>
      </c>
    </row>
    <row r="1057" spans="1:11" ht="15">
      <c r="A1057" s="3">
        <v>2035</v>
      </c>
      <c r="B1057" s="60">
        <f t="shared" ref="B1057:K1057" si="19">AVERAGE(B245:B256)</f>
        <v>4.0831583333333343</v>
      </c>
      <c r="C1057" s="60">
        <f t="shared" si="19"/>
        <v>4.0831583333333343</v>
      </c>
      <c r="D1057" s="60">
        <f t="shared" si="19"/>
        <v>4.1046500000000012</v>
      </c>
      <c r="E1057" s="60">
        <f t="shared" si="19"/>
        <v>4.4108166666666664</v>
      </c>
      <c r="F1057" s="60">
        <f t="shared" si="19"/>
        <v>4.4108166666666664</v>
      </c>
      <c r="G1057" s="60">
        <f t="shared" si="19"/>
        <v>4.4117083333333333</v>
      </c>
      <c r="H1057" s="60">
        <f t="shared" si="19"/>
        <v>6.7840999999999996</v>
      </c>
      <c r="I1057" s="60">
        <f t="shared" si="19"/>
        <v>6.7850000000000001</v>
      </c>
      <c r="J1057" s="60">
        <f t="shared" si="19"/>
        <v>4.4108166666666664</v>
      </c>
      <c r="K1057" s="60">
        <f t="shared" si="19"/>
        <v>4.4117083333333333</v>
      </c>
    </row>
    <row r="1058" spans="1:11" ht="15">
      <c r="A1058" s="3">
        <v>2036</v>
      </c>
      <c r="B1058" s="60">
        <f t="shared" ref="B1058:K1058" si="20">AVERAGE(B257:B268)</f>
        <v>4.1822749999999997</v>
      </c>
      <c r="C1058" s="60">
        <f t="shared" si="20"/>
        <v>4.1822749999999997</v>
      </c>
      <c r="D1058" s="60">
        <f t="shared" si="20"/>
        <v>4.2038083333333338</v>
      </c>
      <c r="E1058" s="60">
        <f t="shared" si="20"/>
        <v>4.5303666666666667</v>
      </c>
      <c r="F1058" s="60">
        <f t="shared" si="20"/>
        <v>4.5303666666666667</v>
      </c>
      <c r="G1058" s="60">
        <f t="shared" si="20"/>
        <v>4.53125</v>
      </c>
      <c r="H1058" s="60">
        <f t="shared" si="20"/>
        <v>6.9556416666666658</v>
      </c>
      <c r="I1058" s="60">
        <f t="shared" si="20"/>
        <v>6.95655</v>
      </c>
      <c r="J1058" s="60">
        <f t="shared" si="20"/>
        <v>4.5303666666666667</v>
      </c>
      <c r="K1058" s="60">
        <f t="shared" si="20"/>
        <v>4.53125</v>
      </c>
    </row>
    <row r="1059" spans="1:11" ht="15">
      <c r="A1059" s="3">
        <v>2037</v>
      </c>
      <c r="B1059" s="60">
        <f t="shared" ref="B1059:K1059" si="21">AVERAGE(B269:B280)</f>
        <v>4.2830666666666675</v>
      </c>
      <c r="C1059" s="60">
        <f t="shared" si="21"/>
        <v>4.2830666666666675</v>
      </c>
      <c r="D1059" s="60">
        <f t="shared" si="21"/>
        <v>4.3045750000000007</v>
      </c>
      <c r="E1059" s="60">
        <f t="shared" si="21"/>
        <v>4.6544583333333334</v>
      </c>
      <c r="F1059" s="60">
        <f t="shared" si="21"/>
        <v>4.6544583333333334</v>
      </c>
      <c r="G1059" s="60">
        <f t="shared" si="21"/>
        <v>4.6553499999999994</v>
      </c>
      <c r="H1059" s="60">
        <f t="shared" si="21"/>
        <v>7.1315666666666653</v>
      </c>
      <c r="I1059" s="60">
        <f t="shared" si="21"/>
        <v>7.1324499999999995</v>
      </c>
      <c r="J1059" s="60">
        <f t="shared" si="21"/>
        <v>4.6544583333333334</v>
      </c>
      <c r="K1059" s="60">
        <f t="shared" si="21"/>
        <v>4.6553499999999994</v>
      </c>
    </row>
    <row r="1060" spans="1:11" ht="15">
      <c r="A1060" s="3">
        <v>2038</v>
      </c>
      <c r="B1060" s="60">
        <f t="shared" ref="B1060:K1060" si="22">AVERAGE(B281:B292)</f>
        <v>4.3887583333333327</v>
      </c>
      <c r="C1060" s="60">
        <f t="shared" si="22"/>
        <v>4.3887583333333327</v>
      </c>
      <c r="D1060" s="60">
        <f t="shared" si="22"/>
        <v>4.4102833333333349</v>
      </c>
      <c r="E1060" s="60">
        <f t="shared" si="22"/>
        <v>4.7885083333333336</v>
      </c>
      <c r="F1060" s="60">
        <f t="shared" si="22"/>
        <v>4.7885083333333336</v>
      </c>
      <c r="G1060" s="60">
        <f t="shared" si="22"/>
        <v>4.7894083333333333</v>
      </c>
      <c r="H1060" s="60">
        <f t="shared" si="22"/>
        <v>7.3119083333333323</v>
      </c>
      <c r="I1060" s="60">
        <f t="shared" si="22"/>
        <v>7.3127916666666684</v>
      </c>
      <c r="J1060" s="60">
        <f t="shared" si="22"/>
        <v>4.7885083333333336</v>
      </c>
      <c r="K1060" s="60">
        <f t="shared" si="22"/>
        <v>4.7894083333333333</v>
      </c>
    </row>
    <row r="1061" spans="1:11" ht="15">
      <c r="A1061" s="3">
        <v>2039</v>
      </c>
      <c r="B1061" s="60">
        <f t="shared" ref="B1061:K1061" si="23">AVERAGE(B293:B304)</f>
        <v>4.4963916666666668</v>
      </c>
      <c r="C1061" s="60">
        <f t="shared" si="23"/>
        <v>4.4963916666666668</v>
      </c>
      <c r="D1061" s="60">
        <f t="shared" si="23"/>
        <v>4.5179</v>
      </c>
      <c r="E1061" s="60">
        <f t="shared" si="23"/>
        <v>4.9185083333333326</v>
      </c>
      <c r="F1061" s="60">
        <f t="shared" si="23"/>
        <v>4.9185083333333326</v>
      </c>
      <c r="G1061" s="60">
        <f t="shared" si="23"/>
        <v>4.9193999999999996</v>
      </c>
      <c r="H1061" s="60">
        <f t="shared" si="23"/>
        <v>7.4967916666666667</v>
      </c>
      <c r="I1061" s="60">
        <f t="shared" si="23"/>
        <v>7.4976999999999991</v>
      </c>
      <c r="J1061" s="60">
        <f t="shared" si="23"/>
        <v>4.9185083333333326</v>
      </c>
      <c r="K1061" s="60">
        <f t="shared" si="23"/>
        <v>4.9193999999999996</v>
      </c>
    </row>
    <row r="1062" spans="1:11" ht="15">
      <c r="A1062" s="3">
        <v>2040</v>
      </c>
      <c r="B1062" s="60">
        <f t="shared" ref="B1062:K1062" si="24">AVERAGE(B305:B316)</f>
        <v>4.6104833333333328</v>
      </c>
      <c r="C1062" s="60">
        <f t="shared" si="24"/>
        <v>4.6104833333333328</v>
      </c>
      <c r="D1062" s="60">
        <f t="shared" si="24"/>
        <v>4.6319749999999997</v>
      </c>
      <c r="E1062" s="60">
        <f t="shared" si="24"/>
        <v>5.0565249999999997</v>
      </c>
      <c r="F1062" s="60">
        <f t="shared" si="24"/>
        <v>5.0565249999999997</v>
      </c>
      <c r="G1062" s="60">
        <f t="shared" si="24"/>
        <v>5.0574250000000003</v>
      </c>
      <c r="H1062" s="60">
        <f t="shared" si="24"/>
        <v>7.6863833333333345</v>
      </c>
      <c r="I1062" s="60">
        <f t="shared" si="24"/>
        <v>7.6872916666666669</v>
      </c>
      <c r="J1062" s="60">
        <f t="shared" si="24"/>
        <v>5.0565249999999997</v>
      </c>
      <c r="K1062" s="60">
        <f t="shared" si="24"/>
        <v>5.0574250000000003</v>
      </c>
    </row>
    <row r="1063" spans="1:11" ht="15">
      <c r="A1063" s="3">
        <v>2041</v>
      </c>
      <c r="B1063" s="60">
        <f t="shared" ref="B1063:K1063" si="25">AVERAGE(B317:B328)</f>
        <v>4.727475000000001</v>
      </c>
      <c r="C1063" s="60">
        <f t="shared" si="25"/>
        <v>4.727475000000001</v>
      </c>
      <c r="D1063" s="60">
        <f t="shared" si="25"/>
        <v>4.7489499999999998</v>
      </c>
      <c r="E1063" s="60">
        <f t="shared" si="25"/>
        <v>5.1984249999999994</v>
      </c>
      <c r="F1063" s="60">
        <f t="shared" si="25"/>
        <v>5.1984249999999994</v>
      </c>
      <c r="G1063" s="60">
        <f t="shared" si="25"/>
        <v>5.1993083333333336</v>
      </c>
      <c r="H1063" s="60">
        <f t="shared" si="25"/>
        <v>7.8807833333333326</v>
      </c>
      <c r="I1063" s="60">
        <f t="shared" si="25"/>
        <v>7.8816666666666677</v>
      </c>
      <c r="J1063" s="60">
        <f t="shared" si="25"/>
        <v>5.1984249999999994</v>
      </c>
      <c r="K1063" s="60">
        <f t="shared" si="25"/>
        <v>5.1993083333333336</v>
      </c>
    </row>
    <row r="1064" spans="1:11" ht="15">
      <c r="A1064" s="3">
        <v>2042</v>
      </c>
      <c r="B1064" s="60">
        <f t="shared" ref="B1064:K1064" si="26">AVERAGE(B329:B340)</f>
        <v>4.8474083333333331</v>
      </c>
      <c r="C1064" s="60">
        <f t="shared" si="26"/>
        <v>4.8474083333333331</v>
      </c>
      <c r="D1064" s="60">
        <f t="shared" si="26"/>
        <v>4.8689166666666663</v>
      </c>
      <c r="E1064" s="60">
        <f t="shared" si="26"/>
        <v>5.3443250000000004</v>
      </c>
      <c r="F1064" s="60">
        <f t="shared" si="26"/>
        <v>5.3443250000000004</v>
      </c>
      <c r="G1064" s="60">
        <f t="shared" si="26"/>
        <v>5.3452250000000001</v>
      </c>
      <c r="H1064" s="60">
        <f t="shared" si="26"/>
        <v>8.0800583333333336</v>
      </c>
      <c r="I1064" s="60">
        <f t="shared" si="26"/>
        <v>8.0809583333333332</v>
      </c>
      <c r="J1064" s="60">
        <f t="shared" si="26"/>
        <v>5.3443250000000004</v>
      </c>
      <c r="K1064" s="60">
        <f t="shared" si="26"/>
        <v>5.3452250000000001</v>
      </c>
    </row>
    <row r="1065" spans="1:11" ht="15">
      <c r="A1065" s="3">
        <v>2043</v>
      </c>
      <c r="B1065" s="60">
        <f t="shared" ref="B1065:K1065" si="27">AVERAGE(B341:B352)</f>
        <v>4.9704083333333342</v>
      </c>
      <c r="C1065" s="60">
        <f t="shared" si="27"/>
        <v>4.9704083333333342</v>
      </c>
      <c r="D1065" s="60">
        <f t="shared" si="27"/>
        <v>4.9919250000000011</v>
      </c>
      <c r="E1065" s="60">
        <f t="shared" si="27"/>
        <v>5.4943166666666663</v>
      </c>
      <c r="F1065" s="60">
        <f t="shared" si="27"/>
        <v>5.4943166666666663</v>
      </c>
      <c r="G1065" s="60">
        <f t="shared" si="27"/>
        <v>5.4952250000000005</v>
      </c>
      <c r="H1065" s="60">
        <f t="shared" si="27"/>
        <v>8.2843999999999998</v>
      </c>
      <c r="I1065" s="60">
        <f t="shared" si="27"/>
        <v>8.2852916666666676</v>
      </c>
      <c r="J1065" s="60">
        <f t="shared" si="27"/>
        <v>5.4943166666666663</v>
      </c>
      <c r="K1065" s="60">
        <f t="shared" si="27"/>
        <v>5.4952250000000005</v>
      </c>
    </row>
    <row r="1066" spans="1:11" ht="15">
      <c r="A1066" s="3">
        <v>2044</v>
      </c>
      <c r="B1066" s="60">
        <f t="shared" ref="B1066:K1066" si="28">AVERAGE(B353:B364)</f>
        <v>5.0965250000000006</v>
      </c>
      <c r="C1066" s="60">
        <f t="shared" si="28"/>
        <v>5.0965250000000006</v>
      </c>
      <c r="D1066" s="60">
        <f t="shared" si="28"/>
        <v>5.1180416666666675</v>
      </c>
      <c r="E1066" s="60">
        <f t="shared" si="28"/>
        <v>5.6485583333333338</v>
      </c>
      <c r="F1066" s="60">
        <f t="shared" si="28"/>
        <v>5.6485583333333338</v>
      </c>
      <c r="G1066" s="60">
        <f t="shared" si="28"/>
        <v>5.649449999999999</v>
      </c>
      <c r="H1066" s="60">
        <f t="shared" si="28"/>
        <v>8.4938916666666664</v>
      </c>
      <c r="I1066" s="60">
        <f t="shared" si="28"/>
        <v>8.4947833333333325</v>
      </c>
      <c r="J1066" s="60">
        <f t="shared" si="28"/>
        <v>5.6485583333333338</v>
      </c>
      <c r="K1066" s="60">
        <f t="shared" si="28"/>
        <v>5.649449999999999</v>
      </c>
    </row>
    <row r="1067" spans="1:11" ht="15">
      <c r="A1067" s="3">
        <v>2045</v>
      </c>
      <c r="B1067" s="60">
        <f t="shared" ref="B1067:K1067" si="29">AVERAGE(B365:B376)</f>
        <v>5.2258749999999994</v>
      </c>
      <c r="C1067" s="60">
        <f t="shared" si="29"/>
        <v>5.2258749999999994</v>
      </c>
      <c r="D1067" s="60">
        <f t="shared" si="29"/>
        <v>5.2473833333333326</v>
      </c>
      <c r="E1067" s="60">
        <f t="shared" si="29"/>
        <v>5.8071166666666683</v>
      </c>
      <c r="F1067" s="60">
        <f t="shared" si="29"/>
        <v>5.8071166666666683</v>
      </c>
      <c r="G1067" s="60">
        <f t="shared" si="29"/>
        <v>5.808016666666667</v>
      </c>
      <c r="H1067" s="60">
        <f t="shared" si="29"/>
        <v>8.7086833333333331</v>
      </c>
      <c r="I1067" s="60">
        <f t="shared" si="29"/>
        <v>8.7095749999999992</v>
      </c>
      <c r="J1067" s="60">
        <f t="shared" si="29"/>
        <v>5.8071166666666683</v>
      </c>
      <c r="K1067" s="60">
        <f t="shared" si="29"/>
        <v>5.808016666666667</v>
      </c>
    </row>
    <row r="1068" spans="1:11" ht="15">
      <c r="A1068" s="3">
        <v>2046</v>
      </c>
      <c r="B1068" s="60">
        <f t="shared" ref="B1068:K1068" si="30">AVERAGE(B377:B388)</f>
        <v>5.3584916666666667</v>
      </c>
      <c r="C1068" s="60">
        <f t="shared" si="30"/>
        <v>5.3584916666666667</v>
      </c>
      <c r="D1068" s="60">
        <f t="shared" si="30"/>
        <v>5.3800249999999998</v>
      </c>
      <c r="E1068" s="60">
        <f t="shared" si="30"/>
        <v>5.9701666666666666</v>
      </c>
      <c r="F1068" s="60">
        <f t="shared" si="30"/>
        <v>5.9701666666666666</v>
      </c>
      <c r="G1068" s="60">
        <f t="shared" si="30"/>
        <v>5.971074999999999</v>
      </c>
      <c r="H1068" s="60">
        <f t="shared" si="30"/>
        <v>8.928941666666665</v>
      </c>
      <c r="I1068" s="60">
        <f t="shared" si="30"/>
        <v>8.9298166666666656</v>
      </c>
      <c r="J1068" s="60">
        <f t="shared" si="30"/>
        <v>5.9701666666666666</v>
      </c>
      <c r="K1068" s="60">
        <f t="shared" si="30"/>
        <v>5.971074999999999</v>
      </c>
    </row>
    <row r="1069" spans="1:11" ht="15">
      <c r="A1069" s="3">
        <v>2047</v>
      </c>
      <c r="B1069" s="60">
        <f t="shared" ref="B1069:K1069" si="31">AVERAGE(B389:B400)</f>
        <v>5.4945083333333331</v>
      </c>
      <c r="C1069" s="60">
        <f t="shared" si="31"/>
        <v>5.4945083333333331</v>
      </c>
      <c r="D1069" s="60">
        <f t="shared" si="31"/>
        <v>5.5159916666666673</v>
      </c>
      <c r="E1069" s="60">
        <f t="shared" si="31"/>
        <v>6.1377999999999995</v>
      </c>
      <c r="F1069" s="60">
        <f t="shared" si="31"/>
        <v>6.1377999999999995</v>
      </c>
      <c r="G1069" s="60">
        <f t="shared" si="31"/>
        <v>6.1386833333333337</v>
      </c>
      <c r="H1069" s="60">
        <f t="shared" si="31"/>
        <v>9.1547083333333337</v>
      </c>
      <c r="I1069" s="60">
        <f t="shared" si="31"/>
        <v>9.1556000000000015</v>
      </c>
      <c r="J1069" s="60">
        <f t="shared" si="31"/>
        <v>6.1377999999999995</v>
      </c>
      <c r="K1069" s="60">
        <f t="shared" si="31"/>
        <v>6.1386833333333337</v>
      </c>
    </row>
    <row r="1070" spans="1:11" ht="15">
      <c r="A1070" s="3">
        <v>2048</v>
      </c>
      <c r="B1070" s="60">
        <f t="shared" ref="B1070:K1070" si="32">AVERAGE(B401:B412)</f>
        <v>5.6339333333333341</v>
      </c>
      <c r="C1070" s="60">
        <f t="shared" si="32"/>
        <v>5.6339333333333341</v>
      </c>
      <c r="D1070" s="60">
        <f t="shared" si="32"/>
        <v>5.6554583333333328</v>
      </c>
      <c r="E1070" s="60">
        <f t="shared" si="32"/>
        <v>6.3101416666666674</v>
      </c>
      <c r="F1070" s="60">
        <f t="shared" si="32"/>
        <v>6.3101416666666674</v>
      </c>
      <c r="G1070" s="60">
        <f t="shared" si="32"/>
        <v>6.3110249999999999</v>
      </c>
      <c r="H1070" s="60">
        <f t="shared" si="32"/>
        <v>9.3862249999999996</v>
      </c>
      <c r="I1070" s="60">
        <f t="shared" si="32"/>
        <v>9.3871083333333356</v>
      </c>
      <c r="J1070" s="60">
        <f t="shared" si="32"/>
        <v>6.3101416666666674</v>
      </c>
      <c r="K1070" s="60">
        <f t="shared" si="32"/>
        <v>6.3110249999999999</v>
      </c>
    </row>
    <row r="1071" spans="1:11" ht="15">
      <c r="A1071" s="3">
        <v>2049</v>
      </c>
      <c r="B1071" s="60">
        <f t="shared" ref="B1071:K1071" si="33">AVERAGE(B413:B424)</f>
        <v>5.7769416666666666</v>
      </c>
      <c r="C1071" s="60">
        <f t="shared" si="33"/>
        <v>5.7769416666666666</v>
      </c>
      <c r="D1071" s="60">
        <f t="shared" si="33"/>
        <v>5.7984416666666663</v>
      </c>
      <c r="E1071" s="60">
        <f t="shared" si="33"/>
        <v>6.487333333333333</v>
      </c>
      <c r="F1071" s="60">
        <f t="shared" si="33"/>
        <v>6.487333333333333</v>
      </c>
      <c r="G1071" s="60">
        <f t="shared" si="33"/>
        <v>6.4882333333333326</v>
      </c>
      <c r="H1071" s="60">
        <f t="shared" si="33"/>
        <v>9.6235750000000007</v>
      </c>
      <c r="I1071" s="60">
        <f t="shared" si="33"/>
        <v>9.6244833333333339</v>
      </c>
      <c r="J1071" s="60">
        <f t="shared" si="33"/>
        <v>6.487333333333333</v>
      </c>
      <c r="K1071" s="60">
        <f t="shared" si="33"/>
        <v>6.4882333333333326</v>
      </c>
    </row>
    <row r="1072" spans="1:11" ht="15">
      <c r="A1072" s="3">
        <v>2050</v>
      </c>
      <c r="B1072" s="60">
        <f t="shared" ref="B1072:K1072" si="34">AVERAGE(B425:B436)</f>
        <v>5.923566666666666</v>
      </c>
      <c r="C1072" s="60">
        <f t="shared" si="34"/>
        <v>5.923566666666666</v>
      </c>
      <c r="D1072" s="60">
        <f t="shared" si="34"/>
        <v>5.9450833333333328</v>
      </c>
      <c r="E1072" s="60">
        <f t="shared" si="34"/>
        <v>6.6695499999999983</v>
      </c>
      <c r="F1072" s="60">
        <f t="shared" si="34"/>
        <v>6.6695499999999983</v>
      </c>
      <c r="G1072" s="60">
        <f t="shared" si="34"/>
        <v>6.6704416666666679</v>
      </c>
      <c r="H1072" s="60">
        <f t="shared" si="34"/>
        <v>9.8669416666666674</v>
      </c>
      <c r="I1072" s="60">
        <f t="shared" si="34"/>
        <v>9.8678499999999989</v>
      </c>
      <c r="J1072" s="60">
        <f t="shared" si="34"/>
        <v>6.6695499999999983</v>
      </c>
      <c r="K1072" s="60">
        <f t="shared" si="34"/>
        <v>6.6704416666666679</v>
      </c>
    </row>
    <row r="1073" spans="1:11" ht="15">
      <c r="A1073" s="3">
        <v>2051</v>
      </c>
      <c r="B1073" s="60">
        <f t="shared" ref="B1073:K1073" si="35">AVERAGE(B437:B448)</f>
        <v>6.0739333333333336</v>
      </c>
      <c r="C1073" s="60">
        <f t="shared" si="35"/>
        <v>6.0739333333333336</v>
      </c>
      <c r="D1073" s="60">
        <f t="shared" si="35"/>
        <v>6.0954250000000014</v>
      </c>
      <c r="E1073" s="60">
        <f t="shared" si="35"/>
        <v>6.8568833333333332</v>
      </c>
      <c r="F1073" s="60">
        <f t="shared" si="35"/>
        <v>6.8568833333333332</v>
      </c>
      <c r="G1073" s="60">
        <f t="shared" si="35"/>
        <v>6.8577666666666666</v>
      </c>
      <c r="H1073" s="60">
        <f t="shared" si="35"/>
        <v>10.116474999999999</v>
      </c>
      <c r="I1073" s="60">
        <f t="shared" si="35"/>
        <v>10.117366666666667</v>
      </c>
      <c r="J1073" s="60">
        <f t="shared" si="35"/>
        <v>6.8568833333333332</v>
      </c>
      <c r="K1073" s="60">
        <f t="shared" si="35"/>
        <v>6.8577666666666666</v>
      </c>
    </row>
    <row r="1074" spans="1:11" ht="15">
      <c r="A1074" s="3">
        <v>2052</v>
      </c>
      <c r="B1074" s="60">
        <f t="shared" ref="B1074:K1074" si="36">AVERAGE(B449:B460)</f>
        <v>6.2281083333333322</v>
      </c>
      <c r="C1074" s="60">
        <f t="shared" si="36"/>
        <v>6.2281083333333322</v>
      </c>
      <c r="D1074" s="60">
        <f t="shared" si="36"/>
        <v>6.2496250000000009</v>
      </c>
      <c r="E1074" s="60">
        <f t="shared" si="36"/>
        <v>7.049475000000001</v>
      </c>
      <c r="F1074" s="60">
        <f t="shared" si="36"/>
        <v>7.049475000000001</v>
      </c>
      <c r="G1074" s="60">
        <f t="shared" si="36"/>
        <v>7.0503666666666662</v>
      </c>
      <c r="H1074" s="60">
        <f t="shared" si="36"/>
        <v>10.372300000000001</v>
      </c>
      <c r="I1074" s="60">
        <f t="shared" si="36"/>
        <v>10.373183333333332</v>
      </c>
      <c r="J1074" s="60">
        <f t="shared" si="36"/>
        <v>7.049475000000001</v>
      </c>
      <c r="K1074" s="60">
        <f t="shared" si="36"/>
        <v>7.0503666666666662</v>
      </c>
    </row>
    <row r="1075" spans="1:11" ht="15">
      <c r="A1075" s="3">
        <v>2053</v>
      </c>
      <c r="B1075" s="60">
        <f t="shared" ref="B1075:K1075" si="37">AVERAGE(B461:B472)</f>
        <v>6.386216666666666</v>
      </c>
      <c r="C1075" s="60">
        <f t="shared" si="37"/>
        <v>6.386216666666666</v>
      </c>
      <c r="D1075" s="60">
        <f t="shared" si="37"/>
        <v>6.4077333333333328</v>
      </c>
      <c r="E1075" s="60">
        <f t="shared" si="37"/>
        <v>7.2475249999999996</v>
      </c>
      <c r="F1075" s="60">
        <f t="shared" si="37"/>
        <v>7.2475249999999996</v>
      </c>
      <c r="G1075" s="60">
        <f t="shared" si="37"/>
        <v>7.2484083333333347</v>
      </c>
      <c r="H1075" s="60">
        <f t="shared" si="37"/>
        <v>10.634608333333333</v>
      </c>
      <c r="I1075" s="60">
        <f t="shared" si="37"/>
        <v>10.635499999999999</v>
      </c>
      <c r="J1075" s="60">
        <f t="shared" si="37"/>
        <v>7.2475249999999996</v>
      </c>
      <c r="K1075" s="60">
        <f t="shared" si="37"/>
        <v>7.2484083333333347</v>
      </c>
    </row>
    <row r="1076" spans="1:11" ht="15">
      <c r="A1076" s="3">
        <v>2054</v>
      </c>
      <c r="B1076" s="60">
        <f t="shared" ref="B1076:K1076" si="38">AVERAGE(B473:B484)</f>
        <v>6.5483416666666656</v>
      </c>
      <c r="C1076" s="60">
        <f t="shared" si="38"/>
        <v>6.5483416666666656</v>
      </c>
      <c r="D1076" s="60">
        <f t="shared" si="38"/>
        <v>6.5698583333333334</v>
      </c>
      <c r="E1076" s="60">
        <f t="shared" si="38"/>
        <v>7.4511333333333338</v>
      </c>
      <c r="F1076" s="60">
        <f t="shared" si="38"/>
        <v>7.4511333333333338</v>
      </c>
      <c r="G1076" s="60">
        <f t="shared" si="38"/>
        <v>7.4520249999999999</v>
      </c>
      <c r="H1076" s="60">
        <f t="shared" si="38"/>
        <v>10.903533333333334</v>
      </c>
      <c r="I1076" s="60">
        <f t="shared" si="38"/>
        <v>10.904408333333334</v>
      </c>
      <c r="J1076" s="60">
        <f t="shared" si="38"/>
        <v>7.4511333333333338</v>
      </c>
      <c r="K1076" s="60">
        <f t="shared" si="38"/>
        <v>7.4520249999999999</v>
      </c>
    </row>
    <row r="1077" spans="1:11" ht="15">
      <c r="A1077" s="3">
        <v>2055</v>
      </c>
      <c r="B1077" s="60">
        <f t="shared" ref="B1077:K1077" si="39">AVERAGE(B17:B496)</f>
        <v>4.2844087499999954</v>
      </c>
      <c r="C1077" s="60">
        <f t="shared" si="39"/>
        <v>4.2844087499999954</v>
      </c>
      <c r="D1077" s="60">
        <f t="shared" si="39"/>
        <v>4.3059160416666691</v>
      </c>
      <c r="E1077" s="60">
        <f t="shared" si="39"/>
        <v>4.7119027083333327</v>
      </c>
      <c r="F1077" s="60">
        <f t="shared" si="39"/>
        <v>4.6534241666666665</v>
      </c>
      <c r="G1077" s="60">
        <f t="shared" si="39"/>
        <v>4.6543162499999964</v>
      </c>
      <c r="H1077" s="60">
        <f t="shared" si="39"/>
        <v>7.1645485416666759</v>
      </c>
      <c r="I1077" s="60">
        <f t="shared" si="39"/>
        <v>7.165442083333331</v>
      </c>
      <c r="J1077" s="60">
        <f t="shared" si="39"/>
        <v>4.7119027083333327</v>
      </c>
      <c r="K1077" s="60">
        <f t="shared" si="39"/>
        <v>4.7127945833333316</v>
      </c>
    </row>
    <row r="1078" spans="1:11" ht="15">
      <c r="A1078" s="3">
        <v>2056</v>
      </c>
      <c r="B1078" s="60">
        <f t="shared" ref="B1078:K1078" si="40">AVERAGE(B497:B508)</f>
        <v>6.8850749999999996</v>
      </c>
      <c r="C1078" s="60">
        <f t="shared" si="40"/>
        <v>6.8850749999999996</v>
      </c>
      <c r="D1078" s="60">
        <f t="shared" si="40"/>
        <v>6.9065750000000001</v>
      </c>
      <c r="E1078" s="60">
        <f t="shared" si="40"/>
        <v>7.8757666666666664</v>
      </c>
      <c r="F1078" s="60">
        <f t="shared" si="40"/>
        <v>7.8757666666666664</v>
      </c>
      <c r="G1078" s="60">
        <f t="shared" si="40"/>
        <v>7.8766500000000006</v>
      </c>
      <c r="H1078" s="60">
        <f t="shared" si="40"/>
        <v>11.461975000000002</v>
      </c>
      <c r="I1078" s="60">
        <f t="shared" si="40"/>
        <v>11.462874999999999</v>
      </c>
      <c r="J1078" s="60">
        <f t="shared" si="40"/>
        <v>7.8757666666666664</v>
      </c>
      <c r="K1078" s="60">
        <f t="shared" si="40"/>
        <v>7.8766500000000006</v>
      </c>
    </row>
    <row r="1079" spans="1:11" ht="15">
      <c r="A1079" s="3">
        <v>2057</v>
      </c>
      <c r="B1079" s="60">
        <f t="shared" ref="B1079:K1079" si="41">AVERAGE(B509:B520)</f>
        <v>7.0598833333333326</v>
      </c>
      <c r="C1079" s="60">
        <f t="shared" si="41"/>
        <v>7.0598833333333326</v>
      </c>
      <c r="D1079" s="60">
        <f t="shared" si="41"/>
        <v>7.0813916666666659</v>
      </c>
      <c r="E1079" s="60">
        <f t="shared" si="41"/>
        <v>8.0970833333333321</v>
      </c>
      <c r="F1079" s="60">
        <f t="shared" si="41"/>
        <v>8.0970833333333321</v>
      </c>
      <c r="G1079" s="60">
        <f t="shared" si="41"/>
        <v>8.0979749999999999</v>
      </c>
      <c r="H1079" s="60">
        <f t="shared" si="41"/>
        <v>11.751825000000002</v>
      </c>
      <c r="I1079" s="60">
        <f t="shared" si="41"/>
        <v>11.752733333333332</v>
      </c>
      <c r="J1079" s="60">
        <f t="shared" si="41"/>
        <v>8.0970833333333321</v>
      </c>
      <c r="K1079" s="60">
        <f t="shared" si="41"/>
        <v>8.0979749999999999</v>
      </c>
    </row>
    <row r="1080" spans="1:11" ht="15">
      <c r="A1080" s="3">
        <v>2058</v>
      </c>
      <c r="B1080" s="60">
        <f t="shared" ref="B1080:K1080" si="42">AVERAGE(B521:B532)</f>
        <v>7.239141666666665</v>
      </c>
      <c r="C1080" s="60">
        <f t="shared" si="42"/>
        <v>7.239141666666665</v>
      </c>
      <c r="D1080" s="60">
        <f t="shared" si="42"/>
        <v>7.2606416666666656</v>
      </c>
      <c r="E1080" s="60">
        <f t="shared" si="42"/>
        <v>8.3246583333333337</v>
      </c>
      <c r="F1080" s="60">
        <f t="shared" si="42"/>
        <v>8.3246583333333337</v>
      </c>
      <c r="G1080" s="60">
        <f t="shared" si="42"/>
        <v>8.3255416666666662</v>
      </c>
      <c r="H1080" s="60">
        <f t="shared" si="42"/>
        <v>12.049024999999999</v>
      </c>
      <c r="I1080" s="60">
        <f t="shared" si="42"/>
        <v>12.049925000000002</v>
      </c>
      <c r="J1080" s="60">
        <f t="shared" si="42"/>
        <v>8.3246583333333337</v>
      </c>
      <c r="K1080" s="60">
        <f t="shared" si="42"/>
        <v>8.3255416666666662</v>
      </c>
    </row>
    <row r="1081" spans="1:11" ht="15">
      <c r="A1081" s="3">
        <v>2059</v>
      </c>
      <c r="B1081" s="60">
        <f t="shared" ref="B1081:K1081" si="43">AVERAGE(B533:B544)</f>
        <v>7.4229666666666665</v>
      </c>
      <c r="C1081" s="60">
        <f t="shared" si="43"/>
        <v>7.4229666666666665</v>
      </c>
      <c r="D1081" s="60">
        <f t="shared" si="43"/>
        <v>7.4444500000000007</v>
      </c>
      <c r="E1081" s="60">
        <f t="shared" si="43"/>
        <v>8.5586166666666657</v>
      </c>
      <c r="F1081" s="60">
        <f t="shared" si="43"/>
        <v>8.5586166666666657</v>
      </c>
      <c r="G1081" s="60">
        <f t="shared" si="43"/>
        <v>8.5595333333333361</v>
      </c>
      <c r="H1081" s="60">
        <f t="shared" si="43"/>
        <v>12.353700000000002</v>
      </c>
      <c r="I1081" s="60">
        <f t="shared" si="43"/>
        <v>12.354616666666667</v>
      </c>
      <c r="J1081" s="60">
        <f t="shared" si="43"/>
        <v>8.5586166666666657</v>
      </c>
      <c r="K1081" s="60">
        <f t="shared" si="43"/>
        <v>8.5595333333333361</v>
      </c>
    </row>
    <row r="1082" spans="1:11" ht="15">
      <c r="A1082" s="3">
        <v>2060</v>
      </c>
      <c r="B1082" s="60">
        <f t="shared" ref="B1082:K1082" si="44">AVERAGE(B545:B556)</f>
        <v>7.611433333333335</v>
      </c>
      <c r="C1082" s="60">
        <f t="shared" si="44"/>
        <v>7.611433333333335</v>
      </c>
      <c r="D1082" s="60">
        <f t="shared" si="44"/>
        <v>7.6329500000000001</v>
      </c>
      <c r="E1082" s="60">
        <f t="shared" si="44"/>
        <v>8.7992083333333344</v>
      </c>
      <c r="F1082" s="60">
        <f t="shared" si="44"/>
        <v>8.7992083333333344</v>
      </c>
      <c r="G1082" s="60">
        <f t="shared" si="44"/>
        <v>8.8001083333333323</v>
      </c>
      <c r="H1082" s="60">
        <f t="shared" si="44"/>
        <v>12.666124999999999</v>
      </c>
      <c r="I1082" s="60">
        <f t="shared" si="44"/>
        <v>12.667008333333333</v>
      </c>
      <c r="J1082" s="60">
        <f t="shared" si="44"/>
        <v>8.7992083333333344</v>
      </c>
      <c r="K1082" s="60">
        <f t="shared" si="44"/>
        <v>8.8001083333333323</v>
      </c>
    </row>
    <row r="1083" spans="1:11" ht="15">
      <c r="A1083" s="3">
        <v>2061</v>
      </c>
      <c r="B1083" s="60">
        <f t="shared" ref="B1083:K1083" si="45">AVERAGE(B557:B568)</f>
        <v>7.804733333333334</v>
      </c>
      <c r="C1083" s="60">
        <f t="shared" si="45"/>
        <v>7.804733333333334</v>
      </c>
      <c r="D1083" s="60">
        <f t="shared" si="45"/>
        <v>7.826225</v>
      </c>
      <c r="E1083" s="60">
        <f t="shared" si="45"/>
        <v>9.0465833333333325</v>
      </c>
      <c r="F1083" s="60">
        <f t="shared" si="45"/>
        <v>9.0465833333333325</v>
      </c>
      <c r="G1083" s="60">
        <f t="shared" si="45"/>
        <v>9.047483333333334</v>
      </c>
      <c r="H1083" s="60">
        <f t="shared" si="45"/>
        <v>12.986416666666665</v>
      </c>
      <c r="I1083" s="60">
        <f t="shared" si="45"/>
        <v>12.987324999999998</v>
      </c>
      <c r="J1083" s="60">
        <f t="shared" si="45"/>
        <v>9.0465833333333325</v>
      </c>
      <c r="K1083" s="60">
        <f t="shared" si="45"/>
        <v>9.047483333333334</v>
      </c>
    </row>
    <row r="1084" spans="1:11" ht="15">
      <c r="A1084" s="3">
        <v>2062</v>
      </c>
      <c r="B1084" s="60">
        <f t="shared" ref="B1084:K1093" ca="1" si="46">AVERAGE(OFFSET(B$569,($A1084-$A$1084)*12,0,12,1))</f>
        <v>8.002933333333333</v>
      </c>
      <c r="C1084" s="60">
        <f t="shared" ca="1" si="46"/>
        <v>8.002933333333333</v>
      </c>
      <c r="D1084" s="60">
        <f t="shared" ca="1" si="46"/>
        <v>8.0244583333333352</v>
      </c>
      <c r="E1084" s="60">
        <f t="shared" ca="1" si="46"/>
        <v>9.3009249999999994</v>
      </c>
      <c r="F1084" s="60">
        <f t="shared" ca="1" si="46"/>
        <v>9.3009249999999994</v>
      </c>
      <c r="G1084" s="60">
        <f t="shared" ca="1" si="46"/>
        <v>9.3018333333333327</v>
      </c>
      <c r="H1084" s="60">
        <f t="shared" ca="1" si="46"/>
        <v>13.314841666666666</v>
      </c>
      <c r="I1084" s="60">
        <f t="shared" ca="1" si="46"/>
        <v>13.315716666666665</v>
      </c>
      <c r="J1084" s="60">
        <f t="shared" ca="1" si="46"/>
        <v>9.3009249999999994</v>
      </c>
      <c r="K1084" s="60">
        <f t="shared" ca="1" si="46"/>
        <v>9.3018333333333327</v>
      </c>
    </row>
    <row r="1085" spans="1:11" ht="15">
      <c r="A1085" s="3">
        <v>2063</v>
      </c>
      <c r="B1085" s="60">
        <f t="shared" ca="1" si="46"/>
        <v>8.2011416666666666</v>
      </c>
      <c r="C1085" s="60">
        <f t="shared" ca="1" si="46"/>
        <v>8.2011416666666666</v>
      </c>
      <c r="D1085" s="60">
        <f t="shared" ca="1" si="46"/>
        <v>8.2226499999999998</v>
      </c>
      <c r="E1085" s="60">
        <f t="shared" ca="1" si="46"/>
        <v>9.5553000000000008</v>
      </c>
      <c r="F1085" s="60">
        <f t="shared" ca="1" si="46"/>
        <v>9.5553000000000008</v>
      </c>
      <c r="G1085" s="60">
        <f t="shared" ca="1" si="46"/>
        <v>9.5561833333333315</v>
      </c>
      <c r="H1085" s="60">
        <f t="shared" ca="1" si="46"/>
        <v>13.643241666666668</v>
      </c>
      <c r="I1085" s="60">
        <f t="shared" ca="1" si="46"/>
        <v>13.644141666666664</v>
      </c>
      <c r="J1085" s="60">
        <f t="shared" ca="1" si="46"/>
        <v>9.5553000000000008</v>
      </c>
      <c r="K1085" s="60">
        <f t="shared" ca="1" si="46"/>
        <v>9.5561833333333315</v>
      </c>
    </row>
    <row r="1086" spans="1:11" ht="15">
      <c r="A1086" s="3">
        <v>2064</v>
      </c>
      <c r="B1086" s="60">
        <f t="shared" ca="1" si="46"/>
        <v>8.3993333333333347</v>
      </c>
      <c r="C1086" s="60">
        <f t="shared" ca="1" si="46"/>
        <v>8.3993333333333347</v>
      </c>
      <c r="D1086" s="60">
        <f t="shared" ca="1" si="46"/>
        <v>8.4208499999999997</v>
      </c>
      <c r="E1086" s="60">
        <f t="shared" ca="1" si="46"/>
        <v>9.8096166666666686</v>
      </c>
      <c r="F1086" s="60">
        <f t="shared" ca="1" si="46"/>
        <v>9.8096166666666686</v>
      </c>
      <c r="G1086" s="60">
        <f t="shared" ca="1" si="46"/>
        <v>9.8105249999999984</v>
      </c>
      <c r="H1086" s="60">
        <f t="shared" ca="1" si="46"/>
        <v>13.971650000000002</v>
      </c>
      <c r="I1086" s="60">
        <f t="shared" ca="1" si="46"/>
        <v>13.972550000000004</v>
      </c>
      <c r="J1086" s="60">
        <f t="shared" ca="1" si="46"/>
        <v>9.8096166666666686</v>
      </c>
      <c r="K1086" s="60">
        <f t="shared" ca="1" si="46"/>
        <v>9.8105249999999984</v>
      </c>
    </row>
    <row r="1087" spans="1:11" ht="15">
      <c r="A1087" s="3">
        <v>2065</v>
      </c>
      <c r="B1087" s="60">
        <f t="shared" ca="1" si="46"/>
        <v>8.5975333333333328</v>
      </c>
      <c r="C1087" s="60">
        <f t="shared" ca="1" si="46"/>
        <v>8.5975333333333328</v>
      </c>
      <c r="D1087" s="60">
        <f t="shared" ca="1" si="46"/>
        <v>8.6190666666666669</v>
      </c>
      <c r="E1087" s="60">
        <f t="shared" ca="1" si="46"/>
        <v>10.063975000000001</v>
      </c>
      <c r="F1087" s="60">
        <f t="shared" ca="1" si="46"/>
        <v>10.063975000000001</v>
      </c>
      <c r="G1087" s="60">
        <f t="shared" ca="1" si="46"/>
        <v>10.064875000000001</v>
      </c>
      <c r="H1087" s="60">
        <f t="shared" ca="1" si="46"/>
        <v>14.300050000000001</v>
      </c>
      <c r="I1087" s="60">
        <f t="shared" ca="1" si="46"/>
        <v>14.300958333333334</v>
      </c>
      <c r="J1087" s="60">
        <f t="shared" ca="1" si="46"/>
        <v>10.063975000000001</v>
      </c>
      <c r="K1087" s="60">
        <f t="shared" ca="1" si="46"/>
        <v>10.064875000000001</v>
      </c>
    </row>
    <row r="1088" spans="1:11" ht="15">
      <c r="A1088" s="3">
        <v>2066</v>
      </c>
      <c r="B1088" s="60">
        <f t="shared" ca="1" si="46"/>
        <v>8.7957416666666663</v>
      </c>
      <c r="C1088" s="60">
        <f t="shared" ca="1" si="46"/>
        <v>8.7957416666666663</v>
      </c>
      <c r="D1088" s="60">
        <f t="shared" ca="1" si="46"/>
        <v>8.8172583333333332</v>
      </c>
      <c r="E1088" s="60">
        <f t="shared" ca="1" si="46"/>
        <v>10.318325</v>
      </c>
      <c r="F1088" s="60">
        <f t="shared" ca="1" si="46"/>
        <v>10.318325</v>
      </c>
      <c r="G1088" s="60">
        <f t="shared" ca="1" si="46"/>
        <v>10.319225000000001</v>
      </c>
      <c r="H1088" s="60">
        <f t="shared" ca="1" si="46"/>
        <v>14.628458333333333</v>
      </c>
      <c r="I1088" s="60">
        <f t="shared" ca="1" si="46"/>
        <v>14.629366666666664</v>
      </c>
      <c r="J1088" s="60">
        <f t="shared" ca="1" si="46"/>
        <v>10.318325</v>
      </c>
      <c r="K1088" s="60">
        <f t="shared" ca="1" si="46"/>
        <v>10.319225000000001</v>
      </c>
    </row>
    <row r="1089" spans="1:11" ht="15">
      <c r="A1089" s="3">
        <v>2067</v>
      </c>
      <c r="B1089" s="60">
        <f t="shared" ca="1" si="46"/>
        <v>8.9939499999999999</v>
      </c>
      <c r="C1089" s="60">
        <f t="shared" ca="1" si="46"/>
        <v>8.9939499999999999</v>
      </c>
      <c r="D1089" s="60">
        <f t="shared" ca="1" si="46"/>
        <v>9.0154499999999995</v>
      </c>
      <c r="E1089" s="60">
        <f t="shared" ca="1" si="46"/>
        <v>10.572658333333333</v>
      </c>
      <c r="F1089" s="60">
        <f t="shared" ca="1" si="46"/>
        <v>10.572658333333333</v>
      </c>
      <c r="G1089" s="60">
        <f t="shared" ca="1" si="46"/>
        <v>10.573566666666668</v>
      </c>
      <c r="H1089" s="60">
        <f t="shared" ca="1" si="46"/>
        <v>14.956875000000004</v>
      </c>
      <c r="I1089" s="60">
        <f t="shared" ca="1" si="46"/>
        <v>14.957750000000003</v>
      </c>
      <c r="J1089" s="60">
        <f t="shared" ca="1" si="46"/>
        <v>10.572658333333333</v>
      </c>
      <c r="K1089" s="60">
        <f t="shared" ca="1" si="46"/>
        <v>10.573566666666668</v>
      </c>
    </row>
    <row r="1090" spans="1:11" ht="15">
      <c r="A1090" s="3">
        <v>2068</v>
      </c>
      <c r="B1090" s="60">
        <f t="shared" ca="1" si="46"/>
        <v>9.1921583333333334</v>
      </c>
      <c r="C1090" s="60">
        <f t="shared" ca="1" si="46"/>
        <v>9.1921583333333334</v>
      </c>
      <c r="D1090" s="60">
        <f t="shared" ca="1" si="46"/>
        <v>9.2136500000000012</v>
      </c>
      <c r="E1090" s="60">
        <f t="shared" ca="1" si="46"/>
        <v>10.827016666666665</v>
      </c>
      <c r="F1090" s="60">
        <f t="shared" ca="1" si="46"/>
        <v>10.827016666666665</v>
      </c>
      <c r="G1090" s="60">
        <f t="shared" ca="1" si="46"/>
        <v>10.827908333333333</v>
      </c>
      <c r="H1090" s="60">
        <f t="shared" ca="1" si="46"/>
        <v>15.285266666666667</v>
      </c>
      <c r="I1090" s="60">
        <f t="shared" ca="1" si="46"/>
        <v>15.286166666666668</v>
      </c>
      <c r="J1090" s="60">
        <f t="shared" ca="1" si="46"/>
        <v>10.827016666666665</v>
      </c>
      <c r="K1090" s="60">
        <f t="shared" ca="1" si="46"/>
        <v>10.827908333333333</v>
      </c>
    </row>
    <row r="1091" spans="1:11" ht="15">
      <c r="A1091" s="3">
        <v>2069</v>
      </c>
      <c r="B1091" s="60">
        <f t="shared" ca="1" si="46"/>
        <v>9.3903750000000006</v>
      </c>
      <c r="C1091" s="60">
        <f t="shared" ca="1" si="46"/>
        <v>9.3903750000000006</v>
      </c>
      <c r="D1091" s="60">
        <f t="shared" ca="1" si="46"/>
        <v>9.4118666666666666</v>
      </c>
      <c r="E1091" s="60">
        <f t="shared" ca="1" si="46"/>
        <v>11.081358333333334</v>
      </c>
      <c r="F1091" s="60">
        <f t="shared" ca="1" si="46"/>
        <v>11.081358333333334</v>
      </c>
      <c r="G1091" s="60">
        <f t="shared" ca="1" si="46"/>
        <v>11.08225</v>
      </c>
      <c r="H1091" s="60">
        <f t="shared" ca="1" si="46"/>
        <v>15.613674999999999</v>
      </c>
      <c r="I1091" s="60">
        <f t="shared" ca="1" si="46"/>
        <v>15.614566666666668</v>
      </c>
      <c r="J1091" s="60">
        <f t="shared" ca="1" si="46"/>
        <v>11.081358333333334</v>
      </c>
      <c r="K1091" s="60">
        <f t="shared" ca="1" si="46"/>
        <v>11.08225</v>
      </c>
    </row>
    <row r="1092" spans="1:11" ht="15">
      <c r="A1092" s="3">
        <v>2070</v>
      </c>
      <c r="B1092" s="60">
        <f t="shared" ca="1" si="46"/>
        <v>9.5885749999999987</v>
      </c>
      <c r="C1092" s="60">
        <f t="shared" ca="1" si="46"/>
        <v>9.5885749999999987</v>
      </c>
      <c r="D1092" s="60">
        <f t="shared" ca="1" si="46"/>
        <v>9.6100750000000001</v>
      </c>
      <c r="E1092" s="60">
        <f t="shared" ca="1" si="46"/>
        <v>11.335708333333335</v>
      </c>
      <c r="F1092" s="60">
        <f t="shared" ca="1" si="46"/>
        <v>11.335708333333335</v>
      </c>
      <c r="G1092" s="60">
        <f t="shared" ca="1" si="46"/>
        <v>11.336599999999999</v>
      </c>
      <c r="H1092" s="60">
        <f t="shared" ca="1" si="46"/>
        <v>15.942091666666668</v>
      </c>
      <c r="I1092" s="60">
        <f t="shared" ca="1" si="46"/>
        <v>15.942991666666666</v>
      </c>
      <c r="J1092" s="60">
        <f t="shared" ca="1" si="46"/>
        <v>11.335708333333335</v>
      </c>
      <c r="K1092" s="60">
        <f t="shared" ca="1" si="46"/>
        <v>11.336599999999999</v>
      </c>
    </row>
    <row r="1093" spans="1:11" ht="15">
      <c r="A1093" s="3">
        <v>2071</v>
      </c>
      <c r="B1093" s="60">
        <f t="shared" ca="1" si="46"/>
        <v>9.7867666666666668</v>
      </c>
      <c r="C1093" s="60">
        <f t="shared" ca="1" si="46"/>
        <v>9.7867666666666668</v>
      </c>
      <c r="D1093" s="60">
        <f t="shared" ca="1" si="46"/>
        <v>9.8082750000000001</v>
      </c>
      <c r="E1093" s="60">
        <f t="shared" ca="1" si="46"/>
        <v>11.590058333333332</v>
      </c>
      <c r="F1093" s="60">
        <f t="shared" ca="1" si="46"/>
        <v>11.590058333333332</v>
      </c>
      <c r="G1093" s="60">
        <f t="shared" ca="1" si="46"/>
        <v>11.590949999999999</v>
      </c>
      <c r="H1093" s="60">
        <f t="shared" ca="1" si="46"/>
        <v>16.270491666666668</v>
      </c>
      <c r="I1093" s="60">
        <f t="shared" ca="1" si="46"/>
        <v>16.2714</v>
      </c>
      <c r="J1093" s="60">
        <f t="shared" ca="1" si="46"/>
        <v>11.590058333333332</v>
      </c>
      <c r="K1093" s="60">
        <f t="shared" ca="1" si="46"/>
        <v>11.590949999999999</v>
      </c>
    </row>
    <row r="1094" spans="1:11" ht="15">
      <c r="A1094" s="3">
        <v>2072</v>
      </c>
      <c r="B1094" s="60">
        <f t="shared" ref="B1094:K1103" ca="1" si="47">AVERAGE(OFFSET(B$569,($A1094-$A$1084)*12,0,12,1))</f>
        <v>9.9849666666666685</v>
      </c>
      <c r="C1094" s="60">
        <f t="shared" ca="1" si="47"/>
        <v>9.9849666666666685</v>
      </c>
      <c r="D1094" s="60">
        <f t="shared" ca="1" si="47"/>
        <v>10.006483333333334</v>
      </c>
      <c r="E1094" s="60">
        <f t="shared" ca="1" si="47"/>
        <v>11.844408333333334</v>
      </c>
      <c r="F1094" s="60">
        <f t="shared" ca="1" si="47"/>
        <v>11.844408333333334</v>
      </c>
      <c r="G1094" s="60">
        <f t="shared" ca="1" si="47"/>
        <v>11.84530833333333</v>
      </c>
      <c r="H1094" s="60">
        <f t="shared" ca="1" si="47"/>
        <v>16.598916666666668</v>
      </c>
      <c r="I1094" s="60">
        <f t="shared" ca="1" si="47"/>
        <v>16.599791666666668</v>
      </c>
      <c r="J1094" s="60">
        <f t="shared" ca="1" si="47"/>
        <v>11.844408333333334</v>
      </c>
      <c r="K1094" s="60">
        <f t="shared" ca="1" si="47"/>
        <v>11.84530833333333</v>
      </c>
    </row>
    <row r="1095" spans="1:11" ht="15">
      <c r="A1095" s="3">
        <v>2073</v>
      </c>
      <c r="B1095" s="60">
        <f t="shared" ca="1" si="47"/>
        <v>10.183174999999999</v>
      </c>
      <c r="C1095" s="60">
        <f t="shared" ca="1" si="47"/>
        <v>10.183174999999999</v>
      </c>
      <c r="D1095" s="60">
        <f t="shared" ca="1" si="47"/>
        <v>10.204691666666667</v>
      </c>
      <c r="E1095" s="60">
        <f t="shared" ca="1" si="47"/>
        <v>12.098766666666668</v>
      </c>
      <c r="F1095" s="60">
        <f t="shared" ca="1" si="47"/>
        <v>12.098766666666668</v>
      </c>
      <c r="G1095" s="60">
        <f t="shared" ca="1" si="47"/>
        <v>12.099649999999999</v>
      </c>
      <c r="H1095" s="60">
        <f t="shared" ca="1" si="47"/>
        <v>16.927299999999999</v>
      </c>
      <c r="I1095" s="60">
        <f t="shared" ca="1" si="47"/>
        <v>16.928208333333334</v>
      </c>
      <c r="J1095" s="60">
        <f t="shared" ca="1" si="47"/>
        <v>12.098766666666668</v>
      </c>
      <c r="K1095" s="60">
        <f t="shared" ca="1" si="47"/>
        <v>12.099649999999999</v>
      </c>
    </row>
    <row r="1096" spans="1:11" ht="15">
      <c r="A1096" s="3">
        <v>2074</v>
      </c>
      <c r="B1096" s="60">
        <f t="shared" ca="1" si="47"/>
        <v>10.381366666666667</v>
      </c>
      <c r="C1096" s="60">
        <f t="shared" ca="1" si="47"/>
        <v>10.381366666666667</v>
      </c>
      <c r="D1096" s="60">
        <f t="shared" ca="1" si="47"/>
        <v>10.402883333333333</v>
      </c>
      <c r="E1096" s="60">
        <f t="shared" ca="1" si="47"/>
        <v>12.353099999999998</v>
      </c>
      <c r="F1096" s="60">
        <f t="shared" ca="1" si="47"/>
        <v>12.353099999999998</v>
      </c>
      <c r="G1096" s="60">
        <f t="shared" ca="1" si="47"/>
        <v>12.353999999999999</v>
      </c>
      <c r="H1096" s="60">
        <f t="shared" ca="1" si="47"/>
        <v>17.255700000000001</v>
      </c>
      <c r="I1096" s="60">
        <f t="shared" ca="1" si="47"/>
        <v>17.256608333333336</v>
      </c>
      <c r="J1096" s="60">
        <f t="shared" ca="1" si="47"/>
        <v>12.353099999999998</v>
      </c>
      <c r="K1096" s="60">
        <f t="shared" ca="1" si="47"/>
        <v>12.353999999999999</v>
      </c>
    </row>
    <row r="1097" spans="1:11" ht="15">
      <c r="A1097" s="3">
        <v>2075</v>
      </c>
      <c r="B1097" s="60">
        <f t="shared" ca="1" si="47"/>
        <v>10.579575</v>
      </c>
      <c r="C1097" s="60">
        <f t="shared" ca="1" si="47"/>
        <v>10.579575</v>
      </c>
      <c r="D1097" s="60">
        <f t="shared" ca="1" si="47"/>
        <v>10.601091666666665</v>
      </c>
      <c r="E1097" s="60">
        <f t="shared" ca="1" si="47"/>
        <v>12.60745</v>
      </c>
      <c r="F1097" s="60">
        <f t="shared" ca="1" si="47"/>
        <v>12.60745</v>
      </c>
      <c r="G1097" s="60">
        <f t="shared" ca="1" si="47"/>
        <v>12.608366666666667</v>
      </c>
      <c r="H1097" s="60">
        <f t="shared" ca="1" si="47"/>
        <v>17.584125</v>
      </c>
      <c r="I1097" s="60">
        <f t="shared" ca="1" si="47"/>
        <v>17.585016666666668</v>
      </c>
      <c r="J1097" s="60">
        <f t="shared" ca="1" si="47"/>
        <v>12.60745</v>
      </c>
      <c r="K1097" s="60">
        <f t="shared" ca="1" si="47"/>
        <v>12.608366666666667</v>
      </c>
    </row>
    <row r="1098" spans="1:11" ht="15">
      <c r="A1098" s="3">
        <v>2076</v>
      </c>
      <c r="B1098" s="60">
        <f t="shared" ca="1" si="47"/>
        <v>10.777783333333332</v>
      </c>
      <c r="C1098" s="60">
        <f t="shared" ca="1" si="47"/>
        <v>10.777783333333332</v>
      </c>
      <c r="D1098" s="60">
        <f t="shared" ca="1" si="47"/>
        <v>10.799291666666669</v>
      </c>
      <c r="E1098" s="60">
        <f t="shared" ca="1" si="47"/>
        <v>12.861800000000001</v>
      </c>
      <c r="F1098" s="60">
        <f t="shared" ca="1" si="47"/>
        <v>12.861800000000001</v>
      </c>
      <c r="G1098" s="60">
        <f t="shared" ca="1" si="47"/>
        <v>12.862691666666668</v>
      </c>
      <c r="H1098" s="60">
        <f t="shared" ca="1" si="47"/>
        <v>17.912525000000002</v>
      </c>
      <c r="I1098" s="60">
        <f t="shared" ca="1" si="47"/>
        <v>17.913425</v>
      </c>
      <c r="J1098" s="60">
        <f t="shared" ca="1" si="47"/>
        <v>12.861800000000001</v>
      </c>
      <c r="K1098" s="60">
        <f t="shared" ca="1" si="47"/>
        <v>12.862691666666668</v>
      </c>
    </row>
    <row r="1099" spans="1:11" ht="15">
      <c r="A1099" s="3">
        <v>2077</v>
      </c>
      <c r="B1099" s="60">
        <f t="shared" ca="1" si="47"/>
        <v>10.975991666666667</v>
      </c>
      <c r="C1099" s="60">
        <f t="shared" ca="1" si="47"/>
        <v>10.975991666666667</v>
      </c>
      <c r="D1099" s="60">
        <f t="shared" ca="1" si="47"/>
        <v>10.997491666666663</v>
      </c>
      <c r="E1099" s="60">
        <f t="shared" ca="1" si="47"/>
        <v>13.116141666666664</v>
      </c>
      <c r="F1099" s="60">
        <f t="shared" ca="1" si="47"/>
        <v>13.116141666666664</v>
      </c>
      <c r="G1099" s="60">
        <f t="shared" ca="1" si="47"/>
        <v>13.117016666666665</v>
      </c>
      <c r="H1099" s="60">
        <f t="shared" ca="1" si="47"/>
        <v>18.240941666666668</v>
      </c>
      <c r="I1099" s="60">
        <f t="shared" ca="1" si="47"/>
        <v>18.241833333333332</v>
      </c>
      <c r="J1099" s="60">
        <f t="shared" ca="1" si="47"/>
        <v>13.116141666666664</v>
      </c>
      <c r="K1099" s="60">
        <f t="shared" ca="1" si="47"/>
        <v>13.117016666666665</v>
      </c>
    </row>
    <row r="1100" spans="1:11" ht="15">
      <c r="A1100" s="3">
        <v>2078</v>
      </c>
      <c r="B1100" s="60">
        <f t="shared" ca="1" si="47"/>
        <v>11.174191666666667</v>
      </c>
      <c r="C1100" s="60">
        <f t="shared" ca="1" si="47"/>
        <v>11.174191666666667</v>
      </c>
      <c r="D1100" s="60">
        <f t="shared" ca="1" si="47"/>
        <v>11.1957</v>
      </c>
      <c r="E1100" s="60">
        <f t="shared" ca="1" si="47"/>
        <v>13.370483333333333</v>
      </c>
      <c r="F1100" s="60">
        <f t="shared" ca="1" si="47"/>
        <v>13.370483333333333</v>
      </c>
      <c r="G1100" s="60">
        <f t="shared" ca="1" si="47"/>
        <v>13.371383333333332</v>
      </c>
      <c r="H1100" s="60">
        <f t="shared" ca="1" si="47"/>
        <v>18.569341666666663</v>
      </c>
      <c r="I1100" s="60">
        <f t="shared" ca="1" si="47"/>
        <v>18.570250000000001</v>
      </c>
      <c r="J1100" s="60">
        <f t="shared" ca="1" si="47"/>
        <v>13.370483333333333</v>
      </c>
      <c r="K1100" s="60">
        <f t="shared" ca="1" si="47"/>
        <v>13.371383333333332</v>
      </c>
    </row>
    <row r="1101" spans="1:11" ht="15">
      <c r="A1101" s="3">
        <v>2079</v>
      </c>
      <c r="B1101" s="60">
        <f t="shared" ca="1" si="47"/>
        <v>11.372391666666667</v>
      </c>
      <c r="C1101" s="60">
        <f t="shared" ca="1" si="47"/>
        <v>11.372391666666667</v>
      </c>
      <c r="D1101" s="60">
        <f t="shared" ca="1" si="47"/>
        <v>11.3939</v>
      </c>
      <c r="E1101" s="60">
        <f t="shared" ca="1" si="47"/>
        <v>13.624833333333333</v>
      </c>
      <c r="F1101" s="60">
        <f t="shared" ca="1" si="47"/>
        <v>13.624833333333333</v>
      </c>
      <c r="G1101" s="60">
        <f t="shared" ca="1" si="47"/>
        <v>13.625716666666667</v>
      </c>
      <c r="H1101" s="60">
        <f t="shared" ca="1" si="47"/>
        <v>18.897741666666668</v>
      </c>
      <c r="I1101" s="60">
        <f t="shared" ca="1" si="47"/>
        <v>18.898641666666666</v>
      </c>
      <c r="J1101" s="60">
        <f t="shared" ca="1" si="47"/>
        <v>13.624833333333333</v>
      </c>
      <c r="K1101" s="60">
        <f t="shared" ca="1" si="47"/>
        <v>13.625716666666667</v>
      </c>
    </row>
    <row r="1102" spans="1:11" ht="15">
      <c r="A1102" s="3">
        <v>2080</v>
      </c>
      <c r="B1102" s="60">
        <f t="shared" ca="1" si="47"/>
        <v>11.570599999999999</v>
      </c>
      <c r="C1102" s="60">
        <f t="shared" ca="1" si="47"/>
        <v>11.570599999999999</v>
      </c>
      <c r="D1102" s="60">
        <f t="shared" ca="1" si="47"/>
        <v>11.59210833333333</v>
      </c>
      <c r="E1102" s="60">
        <f t="shared" ca="1" si="47"/>
        <v>13.879166666666665</v>
      </c>
      <c r="F1102" s="60">
        <f t="shared" ca="1" si="47"/>
        <v>13.879166666666665</v>
      </c>
      <c r="G1102" s="60">
        <f t="shared" ca="1" si="47"/>
        <v>13.880075</v>
      </c>
      <c r="H1102" s="60">
        <f t="shared" ca="1" si="47"/>
        <v>19.226166666666664</v>
      </c>
      <c r="I1102" s="60">
        <f t="shared" ca="1" si="47"/>
        <v>19.227058333333336</v>
      </c>
      <c r="J1102" s="60">
        <f t="shared" ca="1" si="47"/>
        <v>13.879166666666665</v>
      </c>
      <c r="K1102" s="60">
        <f t="shared" ca="1" si="47"/>
        <v>13.880075</v>
      </c>
    </row>
    <row r="1103" spans="1:11" ht="15">
      <c r="A1103" s="3">
        <v>2081</v>
      </c>
      <c r="B1103" s="60">
        <f t="shared" ca="1" si="47"/>
        <v>11.768791666666665</v>
      </c>
      <c r="C1103" s="60">
        <f t="shared" ca="1" si="47"/>
        <v>11.768791666666665</v>
      </c>
      <c r="D1103" s="60">
        <f t="shared" ca="1" si="47"/>
        <v>11.790316666666669</v>
      </c>
      <c r="E1103" s="60">
        <f t="shared" ca="1" si="47"/>
        <v>14.133525000000001</v>
      </c>
      <c r="F1103" s="60">
        <f t="shared" ca="1" si="47"/>
        <v>14.133525000000001</v>
      </c>
      <c r="G1103" s="60">
        <f t="shared" ca="1" si="47"/>
        <v>14.134425000000002</v>
      </c>
      <c r="H1103" s="60">
        <f t="shared" ca="1" si="47"/>
        <v>19.554558333333336</v>
      </c>
      <c r="I1103" s="60">
        <f t="shared" ca="1" si="47"/>
        <v>19.555458333333338</v>
      </c>
      <c r="J1103" s="60">
        <f t="shared" ca="1" si="47"/>
        <v>14.133525000000001</v>
      </c>
      <c r="K1103" s="60">
        <f t="shared" ca="1" si="47"/>
        <v>14.134425000000002</v>
      </c>
    </row>
    <row r="1104" spans="1:11" ht="15">
      <c r="A1104" s="3">
        <v>2082</v>
      </c>
      <c r="B1104" s="60">
        <f t="shared" ref="B1104:K1113" ca="1" si="48">AVERAGE(OFFSET(B$569,($A1104-$A$1084)*12,0,12,1))</f>
        <v>11.967008333333334</v>
      </c>
      <c r="C1104" s="60">
        <f t="shared" ca="1" si="48"/>
        <v>11.967008333333334</v>
      </c>
      <c r="D1104" s="60">
        <f t="shared" ca="1" si="48"/>
        <v>11.988508333333336</v>
      </c>
      <c r="E1104" s="60">
        <f t="shared" ca="1" si="48"/>
        <v>14.387866666666666</v>
      </c>
      <c r="F1104" s="60">
        <f t="shared" ca="1" si="48"/>
        <v>14.387866666666666</v>
      </c>
      <c r="G1104" s="60">
        <f t="shared" ca="1" si="48"/>
        <v>14.388766666666669</v>
      </c>
      <c r="H1104" s="60">
        <f t="shared" ca="1" si="48"/>
        <v>19.882974999999998</v>
      </c>
      <c r="I1104" s="60">
        <f t="shared" ca="1" si="48"/>
        <v>19.88386666666667</v>
      </c>
      <c r="J1104" s="60">
        <f t="shared" ca="1" si="48"/>
        <v>14.387866666666666</v>
      </c>
      <c r="K1104" s="60">
        <f t="shared" ca="1" si="48"/>
        <v>14.388766666666669</v>
      </c>
    </row>
    <row r="1105" spans="1:11" ht="15">
      <c r="A1105" s="3">
        <v>2083</v>
      </c>
      <c r="B1105" s="60">
        <f t="shared" ca="1" si="48"/>
        <v>12.165199999999999</v>
      </c>
      <c r="C1105" s="60">
        <f t="shared" ca="1" si="48"/>
        <v>12.165199999999999</v>
      </c>
      <c r="D1105" s="60">
        <f t="shared" ca="1" si="48"/>
        <v>12.186708333333334</v>
      </c>
      <c r="E1105" s="60">
        <f t="shared" ca="1" si="48"/>
        <v>14.642216666666664</v>
      </c>
      <c r="F1105" s="60">
        <f t="shared" ca="1" si="48"/>
        <v>14.642216666666664</v>
      </c>
      <c r="G1105" s="60">
        <f t="shared" ca="1" si="48"/>
        <v>14.643116666666666</v>
      </c>
      <c r="H1105" s="60">
        <f t="shared" ca="1" si="48"/>
        <v>20.211375</v>
      </c>
      <c r="I1105" s="60">
        <f t="shared" ca="1" si="48"/>
        <v>20.212266666666668</v>
      </c>
      <c r="J1105" s="60">
        <f t="shared" ca="1" si="48"/>
        <v>14.642216666666664</v>
      </c>
      <c r="K1105" s="60">
        <f t="shared" ca="1" si="48"/>
        <v>14.643116666666666</v>
      </c>
    </row>
    <row r="1106" spans="1:11" ht="15">
      <c r="A1106" s="3">
        <v>2084</v>
      </c>
      <c r="B1106" s="60">
        <f t="shared" ca="1" si="48"/>
        <v>12.363408333333332</v>
      </c>
      <c r="C1106" s="60">
        <f t="shared" ca="1" si="48"/>
        <v>12.363408333333332</v>
      </c>
      <c r="D1106" s="60">
        <f t="shared" ca="1" si="48"/>
        <v>12.384916666666667</v>
      </c>
      <c r="E1106" s="60">
        <f t="shared" ca="1" si="48"/>
        <v>14.896574999999999</v>
      </c>
      <c r="F1106" s="60">
        <f t="shared" ca="1" si="48"/>
        <v>14.896574999999999</v>
      </c>
      <c r="G1106" s="60">
        <f t="shared" ca="1" si="48"/>
        <v>14.897458333333335</v>
      </c>
      <c r="H1106" s="60">
        <f t="shared" ca="1" si="48"/>
        <v>20.539783333333336</v>
      </c>
      <c r="I1106" s="60">
        <f t="shared" ca="1" si="48"/>
        <v>20.540683333333334</v>
      </c>
      <c r="J1106" s="60">
        <f t="shared" ca="1" si="48"/>
        <v>14.896574999999999</v>
      </c>
      <c r="K1106" s="60">
        <f t="shared" ca="1" si="48"/>
        <v>14.897458333333335</v>
      </c>
    </row>
    <row r="1107" spans="1:11" ht="15">
      <c r="A1107" s="3">
        <v>2085</v>
      </c>
      <c r="B1107" s="60">
        <f t="shared" ca="1" si="48"/>
        <v>12.561633333333333</v>
      </c>
      <c r="C1107" s="60">
        <f t="shared" ca="1" si="48"/>
        <v>12.561633333333333</v>
      </c>
      <c r="D1107" s="60">
        <f t="shared" ca="1" si="48"/>
        <v>12.583125000000001</v>
      </c>
      <c r="E1107" s="60">
        <f t="shared" ca="1" si="48"/>
        <v>15.150924999999999</v>
      </c>
      <c r="F1107" s="60">
        <f t="shared" ca="1" si="48"/>
        <v>15.150924999999999</v>
      </c>
      <c r="G1107" s="60">
        <f t="shared" ca="1" si="48"/>
        <v>15.151800000000001</v>
      </c>
      <c r="H1107" s="60">
        <f t="shared" ca="1" si="48"/>
        <v>20.868191666666664</v>
      </c>
      <c r="I1107" s="60">
        <f t="shared" ca="1" si="48"/>
        <v>20.869091666666666</v>
      </c>
      <c r="J1107" s="60">
        <f t="shared" ca="1" si="48"/>
        <v>15.150924999999999</v>
      </c>
      <c r="K1107" s="60">
        <f t="shared" ca="1" si="48"/>
        <v>15.151800000000001</v>
      </c>
    </row>
    <row r="1108" spans="1:11" ht="15">
      <c r="A1108" s="3">
        <v>2086</v>
      </c>
      <c r="B1108" s="60">
        <f t="shared" ca="1" si="48"/>
        <v>12.759825000000001</v>
      </c>
      <c r="C1108" s="60">
        <f t="shared" ca="1" si="48"/>
        <v>12.759825000000001</v>
      </c>
      <c r="D1108" s="60">
        <f t="shared" ca="1" si="48"/>
        <v>12.781333333333334</v>
      </c>
      <c r="E1108" s="60">
        <f t="shared" ca="1" si="48"/>
        <v>15.405266666666668</v>
      </c>
      <c r="F1108" s="60">
        <f t="shared" ca="1" si="48"/>
        <v>15.405266666666668</v>
      </c>
      <c r="G1108" s="60">
        <f t="shared" ca="1" si="48"/>
        <v>15.406174999999998</v>
      </c>
      <c r="H1108" s="60">
        <f t="shared" ca="1" si="48"/>
        <v>21.1966</v>
      </c>
      <c r="I1108" s="60">
        <f t="shared" ca="1" si="48"/>
        <v>21.197483333333334</v>
      </c>
      <c r="J1108" s="60">
        <f t="shared" ca="1" si="48"/>
        <v>15.405266666666668</v>
      </c>
      <c r="K1108" s="60">
        <f t="shared" ca="1" si="48"/>
        <v>15.406174999999998</v>
      </c>
    </row>
    <row r="1109" spans="1:11" ht="15">
      <c r="A1109" s="3">
        <v>2087</v>
      </c>
      <c r="B1109" s="60">
        <f t="shared" ca="1" si="48"/>
        <v>12.958016666666666</v>
      </c>
      <c r="C1109" s="60">
        <f t="shared" ca="1" si="48"/>
        <v>12.958016666666666</v>
      </c>
      <c r="D1109" s="60">
        <f t="shared" ca="1" si="48"/>
        <v>12.979533333333331</v>
      </c>
      <c r="E1109" s="60">
        <f t="shared" ca="1" si="48"/>
        <v>15.659599999999998</v>
      </c>
      <c r="F1109" s="60">
        <f t="shared" ca="1" si="48"/>
        <v>15.659599999999998</v>
      </c>
      <c r="G1109" s="60">
        <f t="shared" ca="1" si="48"/>
        <v>15.660508333333334</v>
      </c>
      <c r="H1109" s="60">
        <f t="shared" ca="1" si="48"/>
        <v>21.525000000000002</v>
      </c>
      <c r="I1109" s="60">
        <f t="shared" ca="1" si="48"/>
        <v>21.525908333333334</v>
      </c>
      <c r="J1109" s="60">
        <f t="shared" ca="1" si="48"/>
        <v>15.659599999999998</v>
      </c>
      <c r="K1109" s="60">
        <f t="shared" ca="1" si="48"/>
        <v>15.660508333333334</v>
      </c>
    </row>
    <row r="1110" spans="1:11" ht="15">
      <c r="A1110" s="3">
        <v>2088</v>
      </c>
      <c r="B1110" s="60">
        <f t="shared" ca="1" si="48"/>
        <v>13.156224999999997</v>
      </c>
      <c r="C1110" s="60">
        <f t="shared" ca="1" si="48"/>
        <v>13.156224999999997</v>
      </c>
      <c r="D1110" s="60">
        <f t="shared" ca="1" si="48"/>
        <v>13.177750000000001</v>
      </c>
      <c r="E1110" s="60">
        <f t="shared" ca="1" si="48"/>
        <v>15.913966666666667</v>
      </c>
      <c r="F1110" s="60">
        <f t="shared" ca="1" si="48"/>
        <v>15.913966666666667</v>
      </c>
      <c r="G1110" s="60">
        <f t="shared" ca="1" si="48"/>
        <v>15.914850000000001</v>
      </c>
      <c r="H1110" s="60">
        <f t="shared" ca="1" si="48"/>
        <v>21.853391666666667</v>
      </c>
      <c r="I1110" s="60">
        <f t="shared" ca="1" si="48"/>
        <v>21.854291666666665</v>
      </c>
      <c r="J1110" s="60">
        <f t="shared" ca="1" si="48"/>
        <v>15.913966666666667</v>
      </c>
      <c r="K1110" s="60">
        <f t="shared" ca="1" si="48"/>
        <v>15.914850000000001</v>
      </c>
    </row>
    <row r="1111" spans="1:11" ht="15">
      <c r="A1111" s="3">
        <v>2089</v>
      </c>
      <c r="B1111" s="60">
        <f t="shared" ca="1" si="48"/>
        <v>13.354433333333334</v>
      </c>
      <c r="C1111" s="60">
        <f t="shared" ca="1" si="48"/>
        <v>13.354433333333334</v>
      </c>
      <c r="D1111" s="60">
        <f t="shared" ca="1" si="48"/>
        <v>13.375941666666664</v>
      </c>
      <c r="E1111" s="60">
        <f t="shared" ca="1" si="48"/>
        <v>16.168316666666669</v>
      </c>
      <c r="F1111" s="60">
        <f t="shared" ca="1" si="48"/>
        <v>16.168316666666669</v>
      </c>
      <c r="G1111" s="60">
        <f t="shared" ca="1" si="48"/>
        <v>16.1692</v>
      </c>
      <c r="H1111" s="60">
        <f t="shared" ca="1" si="48"/>
        <v>22.181825</v>
      </c>
      <c r="I1111" s="60">
        <f t="shared" ca="1" si="48"/>
        <v>22.182716666666664</v>
      </c>
      <c r="J1111" s="60">
        <f t="shared" ca="1" si="48"/>
        <v>16.168316666666669</v>
      </c>
      <c r="K1111" s="60">
        <f t="shared" ca="1" si="48"/>
        <v>16.1692</v>
      </c>
    </row>
    <row r="1112" spans="1:11" ht="15">
      <c r="A1112" s="3">
        <v>2090</v>
      </c>
      <c r="B1112" s="60">
        <f t="shared" ca="1" si="48"/>
        <v>13.552641666666666</v>
      </c>
      <c r="C1112" s="60">
        <f t="shared" ca="1" si="48"/>
        <v>13.552641666666666</v>
      </c>
      <c r="D1112" s="60">
        <f t="shared" ca="1" si="48"/>
        <v>13.57413333333333</v>
      </c>
      <c r="E1112" s="60">
        <f t="shared" ca="1" si="48"/>
        <v>16.422641666666667</v>
      </c>
      <c r="F1112" s="60">
        <f t="shared" ca="1" si="48"/>
        <v>16.422641666666667</v>
      </c>
      <c r="G1112" s="60">
        <f t="shared" ca="1" si="48"/>
        <v>16.423541666666669</v>
      </c>
      <c r="H1112" s="60">
        <f t="shared" ca="1" si="48"/>
        <v>22.510224999999991</v>
      </c>
      <c r="I1112" s="60">
        <f t="shared" ca="1" si="48"/>
        <v>22.511124999999996</v>
      </c>
      <c r="J1112" s="60">
        <f t="shared" ca="1" si="48"/>
        <v>16.422641666666667</v>
      </c>
      <c r="K1112" s="60">
        <f t="shared" ca="1" si="48"/>
        <v>16.423541666666669</v>
      </c>
    </row>
    <row r="1113" spans="1:11" ht="15">
      <c r="A1113" s="3">
        <v>2091</v>
      </c>
      <c r="B1113" s="60">
        <f t="shared" ca="1" si="48"/>
        <v>13.750824999999999</v>
      </c>
      <c r="C1113" s="60">
        <f t="shared" ca="1" si="48"/>
        <v>13.750824999999999</v>
      </c>
      <c r="D1113" s="60">
        <f t="shared" ca="1" si="48"/>
        <v>13.772350000000003</v>
      </c>
      <c r="E1113" s="60">
        <f t="shared" ca="1" si="48"/>
        <v>16.677</v>
      </c>
      <c r="F1113" s="60">
        <f t="shared" ca="1" si="48"/>
        <v>16.677</v>
      </c>
      <c r="G1113" s="60">
        <f t="shared" ca="1" si="48"/>
        <v>16.677891666666667</v>
      </c>
      <c r="H1113" s="60">
        <f t="shared" ca="1" si="48"/>
        <v>22.83863333333333</v>
      </c>
      <c r="I1113" s="60">
        <f t="shared" ca="1" si="48"/>
        <v>22.839524999999998</v>
      </c>
      <c r="J1113" s="60">
        <f t="shared" ca="1" si="48"/>
        <v>16.677</v>
      </c>
      <c r="K1113" s="60">
        <f t="shared" ca="1" si="48"/>
        <v>16.677891666666667</v>
      </c>
    </row>
    <row r="1114" spans="1:11" ht="15">
      <c r="A1114" s="3">
        <v>2092</v>
      </c>
      <c r="B1114" s="60">
        <f t="shared" ref="B1114:K1122" ca="1" si="49">AVERAGE(OFFSET(B$569,($A1114-$A$1084)*12,0,12,1))</f>
        <v>13.949050000000002</v>
      </c>
      <c r="C1114" s="60">
        <f t="shared" ca="1" si="49"/>
        <v>13.949050000000002</v>
      </c>
      <c r="D1114" s="60">
        <f t="shared" ca="1" si="49"/>
        <v>13.970550000000001</v>
      </c>
      <c r="E1114" s="60">
        <f t="shared" ca="1" si="49"/>
        <v>16.931341666666665</v>
      </c>
      <c r="F1114" s="60">
        <f t="shared" ca="1" si="49"/>
        <v>16.931341666666665</v>
      </c>
      <c r="G1114" s="60">
        <f t="shared" ca="1" si="49"/>
        <v>16.932241666666666</v>
      </c>
      <c r="H1114" s="60">
        <f t="shared" ca="1" si="49"/>
        <v>23.167033333333332</v>
      </c>
      <c r="I1114" s="60">
        <f t="shared" ca="1" si="49"/>
        <v>23.167941666666668</v>
      </c>
      <c r="J1114" s="60">
        <f t="shared" ca="1" si="49"/>
        <v>16.931341666666665</v>
      </c>
      <c r="K1114" s="60">
        <f t="shared" ca="1" si="49"/>
        <v>16.932241666666666</v>
      </c>
    </row>
    <row r="1115" spans="1:11" ht="15">
      <c r="A1115" s="3">
        <v>2093</v>
      </c>
      <c r="B1115" s="60">
        <f t="shared" ca="1" si="49"/>
        <v>14.147258333333333</v>
      </c>
      <c r="C1115" s="60">
        <f t="shared" ca="1" si="49"/>
        <v>14.147258333333333</v>
      </c>
      <c r="D1115" s="60">
        <f t="shared" ca="1" si="49"/>
        <v>14.168749999999998</v>
      </c>
      <c r="E1115" s="60">
        <f t="shared" ca="1" si="49"/>
        <v>17.185691666666667</v>
      </c>
      <c r="F1115" s="60">
        <f t="shared" ca="1" si="49"/>
        <v>17.185691666666667</v>
      </c>
      <c r="G1115" s="60">
        <f t="shared" ca="1" si="49"/>
        <v>17.186583333333328</v>
      </c>
      <c r="H1115" s="60">
        <f t="shared" ca="1" si="49"/>
        <v>23.495433333333335</v>
      </c>
      <c r="I1115" s="60">
        <f t="shared" ca="1" si="49"/>
        <v>23.496341666666666</v>
      </c>
      <c r="J1115" s="60">
        <f t="shared" ca="1" si="49"/>
        <v>17.185691666666667</v>
      </c>
      <c r="K1115" s="60">
        <f t="shared" ca="1" si="49"/>
        <v>17.186583333333328</v>
      </c>
    </row>
    <row r="1116" spans="1:11" ht="15">
      <c r="A1116" s="3">
        <v>2094</v>
      </c>
      <c r="B1116" s="60">
        <f t="shared" ca="1" si="49"/>
        <v>14.345441666666664</v>
      </c>
      <c r="C1116" s="60">
        <f t="shared" ca="1" si="49"/>
        <v>14.345441666666664</v>
      </c>
      <c r="D1116" s="60">
        <f t="shared" ca="1" si="49"/>
        <v>14.366958333333335</v>
      </c>
      <c r="E1116" s="60">
        <f t="shared" ca="1" si="49"/>
        <v>17.440033333333336</v>
      </c>
      <c r="F1116" s="60">
        <f t="shared" ca="1" si="49"/>
        <v>17.440033333333336</v>
      </c>
      <c r="G1116" s="60">
        <f t="shared" ca="1" si="49"/>
        <v>17.440933333333334</v>
      </c>
      <c r="H1116" s="60">
        <f t="shared" ca="1" si="49"/>
        <v>23.823850000000004</v>
      </c>
      <c r="I1116" s="60">
        <f t="shared" ca="1" si="49"/>
        <v>23.824749999999998</v>
      </c>
      <c r="J1116" s="60">
        <f t="shared" ca="1" si="49"/>
        <v>17.440033333333336</v>
      </c>
      <c r="K1116" s="60">
        <f t="shared" ca="1" si="49"/>
        <v>17.440933333333334</v>
      </c>
    </row>
    <row r="1117" spans="1:11" ht="15">
      <c r="A1117" s="3">
        <v>2095</v>
      </c>
      <c r="B1117" s="60">
        <f t="shared" ca="1" si="49"/>
        <v>14.543658333333335</v>
      </c>
      <c r="C1117" s="60">
        <f t="shared" ca="1" si="49"/>
        <v>14.543658333333335</v>
      </c>
      <c r="D1117" s="60">
        <f t="shared" ca="1" si="49"/>
        <v>14.565158333333335</v>
      </c>
      <c r="E1117" s="60">
        <f t="shared" ca="1" si="49"/>
        <v>17.694366666666667</v>
      </c>
      <c r="F1117" s="60">
        <f t="shared" ca="1" si="49"/>
        <v>17.694366666666667</v>
      </c>
      <c r="G1117" s="60">
        <f t="shared" ca="1" si="49"/>
        <v>17.695274999999999</v>
      </c>
      <c r="H1117" s="60">
        <f t="shared" ca="1" si="49"/>
        <v>24.152266666666673</v>
      </c>
      <c r="I1117" s="60">
        <f t="shared" ca="1" si="49"/>
        <v>24.153149999999997</v>
      </c>
      <c r="J1117" s="60">
        <f t="shared" ca="1" si="49"/>
        <v>17.694366666666667</v>
      </c>
      <c r="K1117" s="60">
        <f t="shared" ca="1" si="49"/>
        <v>17.695274999999999</v>
      </c>
    </row>
    <row r="1118" spans="1:11" ht="15">
      <c r="A1118" s="3">
        <v>2096</v>
      </c>
      <c r="B1118" s="60">
        <f t="shared" ca="1" si="49"/>
        <v>14.741866666666667</v>
      </c>
      <c r="C1118" s="60">
        <f t="shared" ca="1" si="49"/>
        <v>14.741866666666667</v>
      </c>
      <c r="D1118" s="60">
        <f t="shared" ca="1" si="49"/>
        <v>14.763374999999998</v>
      </c>
      <c r="E1118" s="60">
        <f t="shared" ca="1" si="49"/>
        <v>17.948741666666663</v>
      </c>
      <c r="F1118" s="60">
        <f t="shared" ca="1" si="49"/>
        <v>17.948741666666663</v>
      </c>
      <c r="G1118" s="60">
        <f t="shared" ca="1" si="49"/>
        <v>17.949633333333335</v>
      </c>
      <c r="H1118" s="60">
        <f t="shared" ca="1" si="49"/>
        <v>24.480666666666668</v>
      </c>
      <c r="I1118" s="60">
        <f t="shared" ca="1" si="49"/>
        <v>24.481549999999999</v>
      </c>
      <c r="J1118" s="60">
        <f t="shared" ca="1" si="49"/>
        <v>17.948741666666663</v>
      </c>
      <c r="K1118" s="60">
        <f t="shared" ca="1" si="49"/>
        <v>17.949633333333335</v>
      </c>
    </row>
    <row r="1119" spans="1:11" ht="15">
      <c r="A1119" s="3">
        <v>2097</v>
      </c>
      <c r="B1119" s="60">
        <f t="shared" ca="1" si="49"/>
        <v>14.940049999999999</v>
      </c>
      <c r="C1119" s="60">
        <f t="shared" ca="1" si="49"/>
        <v>14.940049999999999</v>
      </c>
      <c r="D1119" s="60">
        <f t="shared" ca="1" si="49"/>
        <v>14.96156666666667</v>
      </c>
      <c r="E1119" s="60">
        <f t="shared" ca="1" si="49"/>
        <v>18.203083333333332</v>
      </c>
      <c r="F1119" s="60">
        <f t="shared" ca="1" si="49"/>
        <v>18.203083333333332</v>
      </c>
      <c r="G1119" s="60">
        <f t="shared" ca="1" si="49"/>
        <v>18.203958333333333</v>
      </c>
      <c r="H1119" s="60">
        <f t="shared" ca="1" si="49"/>
        <v>24.809074999999996</v>
      </c>
      <c r="I1119" s="60">
        <f t="shared" ca="1" si="49"/>
        <v>24.809974999999998</v>
      </c>
      <c r="J1119" s="60">
        <f t="shared" ca="1" si="49"/>
        <v>18.203083333333332</v>
      </c>
      <c r="K1119" s="60">
        <f t="shared" ca="1" si="49"/>
        <v>18.203958333333333</v>
      </c>
    </row>
    <row r="1120" spans="1:11" ht="15">
      <c r="A1120" s="3">
        <v>2098</v>
      </c>
      <c r="B1120" s="60">
        <f t="shared" ca="1" si="49"/>
        <v>15.138258333333333</v>
      </c>
      <c r="C1120" s="60">
        <f t="shared" ca="1" si="49"/>
        <v>15.138258333333333</v>
      </c>
      <c r="D1120" s="60">
        <f t="shared" ca="1" si="49"/>
        <v>15.159774999999998</v>
      </c>
      <c r="E1120" s="60">
        <f t="shared" ca="1" si="49"/>
        <v>18.457425000000004</v>
      </c>
      <c r="F1120" s="60">
        <f t="shared" ca="1" si="49"/>
        <v>18.457425000000004</v>
      </c>
      <c r="G1120" s="60">
        <f t="shared" ca="1" si="49"/>
        <v>18.458316666666665</v>
      </c>
      <c r="H1120" s="60">
        <f t="shared" ca="1" si="49"/>
        <v>25.137474999999995</v>
      </c>
      <c r="I1120" s="60">
        <f t="shared" ca="1" si="49"/>
        <v>25.138383333333334</v>
      </c>
      <c r="J1120" s="60">
        <f t="shared" ca="1" si="49"/>
        <v>18.457425000000004</v>
      </c>
      <c r="K1120" s="60">
        <f t="shared" ca="1" si="49"/>
        <v>18.458316666666665</v>
      </c>
    </row>
    <row r="1121" spans="1:11" ht="15">
      <c r="A1121" s="3">
        <v>2099</v>
      </c>
      <c r="B1121" s="60">
        <f t="shared" ca="1" si="49"/>
        <v>15.336458333333335</v>
      </c>
      <c r="C1121" s="60">
        <f t="shared" ca="1" si="49"/>
        <v>15.336458333333335</v>
      </c>
      <c r="D1121" s="60">
        <f t="shared" ca="1" si="49"/>
        <v>15.357983333333332</v>
      </c>
      <c r="E1121" s="60">
        <f t="shared" ca="1" si="49"/>
        <v>18.711774999999996</v>
      </c>
      <c r="F1121" s="60">
        <f t="shared" ca="1" si="49"/>
        <v>18.711774999999996</v>
      </c>
      <c r="G1121" s="60">
        <f t="shared" ca="1" si="49"/>
        <v>18.712666666666667</v>
      </c>
      <c r="H1121" s="60">
        <f t="shared" ca="1" si="49"/>
        <v>25.465883333333334</v>
      </c>
      <c r="I1121" s="60">
        <f t="shared" ca="1" si="49"/>
        <v>25.466791666666666</v>
      </c>
      <c r="J1121" s="60">
        <f t="shared" ca="1" si="49"/>
        <v>18.711774999999996</v>
      </c>
      <c r="K1121" s="60">
        <f t="shared" ca="1" si="49"/>
        <v>18.712666666666667</v>
      </c>
    </row>
    <row r="1122" spans="1:11" ht="15">
      <c r="A1122" s="3">
        <v>2100</v>
      </c>
      <c r="B1122" s="60">
        <f t="shared" ca="1" si="49"/>
        <v>15.534666666666666</v>
      </c>
      <c r="C1122" s="60">
        <f t="shared" ca="1" si="49"/>
        <v>15.534666666666666</v>
      </c>
      <c r="D1122" s="60">
        <f t="shared" ca="1" si="49"/>
        <v>15.55616666666667</v>
      </c>
      <c r="E1122" s="60">
        <f t="shared" ca="1" si="49"/>
        <v>18.966125000000002</v>
      </c>
      <c r="F1122" s="60">
        <f t="shared" ca="1" si="49"/>
        <v>18.966125000000002</v>
      </c>
      <c r="G1122" s="60">
        <f t="shared" ca="1" si="49"/>
        <v>18.967008333333329</v>
      </c>
      <c r="H1122" s="60">
        <f t="shared" ca="1" si="49"/>
        <v>25.794299999999996</v>
      </c>
      <c r="I1122" s="60">
        <f t="shared" ca="1" si="49"/>
        <v>25.79518333333333</v>
      </c>
      <c r="J1122" s="60">
        <f t="shared" ca="1" si="49"/>
        <v>18.966125000000002</v>
      </c>
      <c r="K1122" s="60">
        <f t="shared" ca="1" si="49"/>
        <v>18.967008333333329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5:E34"/>
  <sheetViews>
    <sheetView showGridLines="0" workbookViewId="0">
      <selection activeCell="C25" sqref="C25:C26"/>
    </sheetView>
  </sheetViews>
  <sheetFormatPr defaultColWidth="8.88671875" defaultRowHeight="15.75"/>
  <cols>
    <col min="1" max="1" width="8.88671875" style="73"/>
    <col min="2" max="2" width="15.5546875" style="73" bestFit="1" customWidth="1"/>
    <col min="3" max="3" width="9.5546875" style="73" bestFit="1" customWidth="1"/>
    <col min="4" max="16384" width="8.88671875" style="73"/>
  </cols>
  <sheetData>
    <row r="5" spans="2:3">
      <c r="B5" s="78" t="s">
        <v>63</v>
      </c>
      <c r="C5" s="78" t="s">
        <v>54</v>
      </c>
    </row>
    <row r="6" spans="2:3">
      <c r="B6" s="80" t="s">
        <v>61</v>
      </c>
      <c r="C6" s="90">
        <v>2</v>
      </c>
    </row>
    <row r="7" spans="2:3">
      <c r="B7" s="80" t="s">
        <v>60</v>
      </c>
      <c r="C7" s="92"/>
    </row>
    <row r="8" spans="2:3">
      <c r="B8" s="79" t="s">
        <v>59</v>
      </c>
      <c r="C8" s="91"/>
    </row>
    <row r="11" spans="2:3">
      <c r="B11" s="78" t="s">
        <v>55</v>
      </c>
      <c r="C11" s="78" t="s">
        <v>54</v>
      </c>
    </row>
    <row r="12" spans="2:3">
      <c r="B12" s="80" t="s">
        <v>61</v>
      </c>
      <c r="C12" s="90">
        <v>2</v>
      </c>
    </row>
    <row r="13" spans="2:3">
      <c r="B13" s="80" t="s">
        <v>60</v>
      </c>
      <c r="C13" s="92"/>
    </row>
    <row r="14" spans="2:3">
      <c r="B14" s="79" t="s">
        <v>59</v>
      </c>
      <c r="C14" s="91"/>
    </row>
    <row r="18" spans="2:3">
      <c r="B18" s="78" t="s">
        <v>62</v>
      </c>
      <c r="C18" s="78" t="s">
        <v>54</v>
      </c>
    </row>
    <row r="19" spans="2:3">
      <c r="B19" s="80" t="s">
        <v>61</v>
      </c>
      <c r="C19" s="90">
        <v>2</v>
      </c>
    </row>
    <row r="20" spans="2:3">
      <c r="B20" s="80" t="s">
        <v>60</v>
      </c>
      <c r="C20" s="92"/>
    </row>
    <row r="21" spans="2:3">
      <c r="B21" s="79" t="s">
        <v>59</v>
      </c>
      <c r="C21" s="91"/>
    </row>
    <row r="24" spans="2:3">
      <c r="B24" s="78" t="s">
        <v>58</v>
      </c>
      <c r="C24" s="78" t="s">
        <v>54</v>
      </c>
    </row>
    <row r="25" spans="2:3">
      <c r="B25" s="77" t="s">
        <v>57</v>
      </c>
      <c r="C25" s="90">
        <v>1</v>
      </c>
    </row>
    <row r="26" spans="2:3">
      <c r="B26" s="76" t="s">
        <v>56</v>
      </c>
      <c r="C26" s="91"/>
    </row>
    <row r="28" spans="2:3">
      <c r="B28" s="78" t="s">
        <v>55</v>
      </c>
      <c r="C28" s="78" t="s">
        <v>54</v>
      </c>
    </row>
    <row r="29" spans="2:3">
      <c r="B29" s="77" t="s">
        <v>53</v>
      </c>
      <c r="C29" s="90">
        <v>1</v>
      </c>
    </row>
    <row r="30" spans="2:3">
      <c r="B30" s="76" t="s">
        <v>52</v>
      </c>
      <c r="C30" s="91"/>
    </row>
    <row r="34" spans="3:5">
      <c r="C34" s="75"/>
      <c r="E34" s="74"/>
    </row>
  </sheetData>
  <mergeCells count="5">
    <mergeCell ref="C29:C30"/>
    <mergeCell ref="C19:C21"/>
    <mergeCell ref="C25:C26"/>
    <mergeCell ref="C6:C8"/>
    <mergeCell ref="C12:C14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2016-07-29T16:26:01Z</dcterms:created>
  <dcterms:modified xsi:type="dcterms:W3CDTF">2016-07-29T16:26:10Z</dcterms:modified>
</cp:coreProperties>
</file>